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1400" windowHeight="5895"/>
  </bookViews>
  <sheets>
    <sheet name="TDSheet" sheetId="1" r:id="rId1"/>
  </sheets>
  <calcPr calcId="125725" refMode="R1C1"/>
</workbook>
</file>

<file path=xl/calcChain.xml><?xml version="1.0" encoding="utf-8"?>
<calcChain xmlns="http://schemas.openxmlformats.org/spreadsheetml/2006/main">
  <c r="V1310" i="1"/>
  <c r="U1310"/>
  <c r="V1309"/>
  <c r="U1309"/>
  <c r="V1308"/>
  <c r="U1308"/>
  <c r="V1307"/>
  <c r="U1307"/>
  <c r="V1306"/>
  <c r="U1306"/>
  <c r="V1305"/>
  <c r="U1305"/>
  <c r="V1304"/>
  <c r="U1304"/>
  <c r="V1303"/>
  <c r="U1303"/>
  <c r="V1302"/>
  <c r="U1302"/>
  <c r="V1301"/>
  <c r="U1301"/>
  <c r="V1300"/>
  <c r="U1300"/>
  <c r="U1299"/>
  <c r="V1298"/>
  <c r="U1298"/>
  <c r="V1297"/>
  <c r="U1297"/>
  <c r="V1296"/>
  <c r="U1296"/>
  <c r="V1295"/>
  <c r="U1295"/>
  <c r="V1294"/>
  <c r="U1294"/>
  <c r="V1293"/>
  <c r="U1293"/>
  <c r="V1292"/>
  <c r="U1292"/>
  <c r="V1291"/>
  <c r="U1291"/>
  <c r="U1290"/>
  <c r="V1289"/>
  <c r="U1289"/>
  <c r="V1288"/>
  <c r="U1288"/>
  <c r="V1287"/>
  <c r="U1287"/>
  <c r="V1286"/>
  <c r="U1286"/>
  <c r="V1285"/>
  <c r="U1285"/>
  <c r="V1284"/>
  <c r="U1284"/>
  <c r="V1283"/>
  <c r="U1283"/>
  <c r="V1282"/>
  <c r="U1282"/>
  <c r="V1281"/>
  <c r="U1281"/>
  <c r="V1280"/>
  <c r="U1280"/>
  <c r="V1279"/>
  <c r="U1279"/>
  <c r="V1278"/>
  <c r="U1278"/>
  <c r="V1277"/>
  <c r="U1277"/>
  <c r="V1276"/>
  <c r="U1276"/>
  <c r="V1275"/>
  <c r="U1275"/>
  <c r="V1274"/>
  <c r="U1274"/>
  <c r="V1273"/>
  <c r="U1273"/>
  <c r="V1272"/>
  <c r="U1272"/>
  <c r="V1271"/>
  <c r="U1271"/>
  <c r="V1270"/>
  <c r="U1270"/>
  <c r="V1269"/>
  <c r="U1269"/>
  <c r="V1268"/>
  <c r="U1268"/>
  <c r="V1267"/>
  <c r="U1267"/>
  <c r="V1266"/>
  <c r="U1266"/>
  <c r="V1265"/>
  <c r="U1265"/>
  <c r="V1264"/>
  <c r="U1264"/>
  <c r="V1263"/>
  <c r="U1263"/>
  <c r="V1262"/>
  <c r="U1262"/>
  <c r="V1261"/>
  <c r="U1261"/>
  <c r="V1260"/>
  <c r="U1260"/>
  <c r="V1259"/>
  <c r="U1259"/>
  <c r="V1258"/>
  <c r="U1258"/>
  <c r="V1257"/>
  <c r="U1257"/>
  <c r="V1256"/>
  <c r="U1256"/>
  <c r="V1255"/>
  <c r="U1255"/>
  <c r="V1254"/>
  <c r="U1254"/>
  <c r="V1253"/>
  <c r="U1253"/>
  <c r="V1252"/>
  <c r="U1252"/>
  <c r="V1251"/>
  <c r="U1251"/>
  <c r="V1250"/>
  <c r="U1250"/>
  <c r="V1249"/>
  <c r="U1249"/>
  <c r="V1248"/>
  <c r="U1248"/>
  <c r="U1247"/>
  <c r="V1246"/>
  <c r="U1246"/>
  <c r="V1245"/>
  <c r="U1245"/>
  <c r="V1244"/>
  <c r="U1244"/>
  <c r="V1243"/>
  <c r="U1243"/>
  <c r="V1242"/>
  <c r="U1242"/>
  <c r="V1241"/>
  <c r="U1241"/>
  <c r="U1240"/>
  <c r="V1239"/>
  <c r="U1239"/>
  <c r="V1238"/>
  <c r="U1238"/>
  <c r="V1237"/>
  <c r="U1237"/>
  <c r="V1236"/>
  <c r="U1236"/>
  <c r="V1235"/>
  <c r="U1235"/>
  <c r="V1234"/>
  <c r="U1234"/>
  <c r="V1233"/>
  <c r="U1233"/>
  <c r="V1232"/>
  <c r="U1232"/>
  <c r="V1231"/>
  <c r="U1231"/>
  <c r="V1230"/>
  <c r="U1230"/>
  <c r="V1229"/>
  <c r="U1229"/>
  <c r="U1228"/>
  <c r="V1227"/>
  <c r="U1227"/>
  <c r="V1226"/>
  <c r="U1226"/>
  <c r="V1225"/>
  <c r="U1225"/>
  <c r="V1224"/>
  <c r="U1224"/>
  <c r="V1223"/>
  <c r="U1223"/>
  <c r="V1222"/>
  <c r="U1222"/>
  <c r="V1221"/>
  <c r="U1221"/>
  <c r="V1220"/>
  <c r="U1220"/>
  <c r="V1219"/>
  <c r="U1219"/>
  <c r="V1218"/>
  <c r="U1218"/>
  <c r="V1217"/>
  <c r="U1217"/>
  <c r="V1216"/>
  <c r="U1216"/>
  <c r="V1215"/>
  <c r="U1215"/>
  <c r="V1214"/>
  <c r="U1214"/>
  <c r="V1213"/>
  <c r="U1213"/>
  <c r="V1212"/>
  <c r="U1212"/>
  <c r="V1211"/>
  <c r="U1211"/>
  <c r="V1210"/>
  <c r="U1210"/>
  <c r="V1209"/>
  <c r="U1209"/>
  <c r="V1208"/>
  <c r="U1208"/>
  <c r="V1207"/>
  <c r="U1207"/>
  <c r="V1206"/>
  <c r="U1206"/>
  <c r="V1205"/>
  <c r="U1205"/>
  <c r="V1204"/>
  <c r="U1204"/>
  <c r="V1203"/>
  <c r="U1203"/>
  <c r="V1202"/>
  <c r="U1202"/>
  <c r="V1201"/>
  <c r="U1201"/>
  <c r="V1200"/>
  <c r="U1200"/>
  <c r="V1199"/>
  <c r="U1199"/>
  <c r="V1198"/>
  <c r="U1198"/>
  <c r="V1197"/>
  <c r="U1197"/>
  <c r="V1196"/>
  <c r="U1196"/>
  <c r="V1195"/>
  <c r="U1195"/>
  <c r="V1194"/>
  <c r="U1194"/>
  <c r="V1193"/>
  <c r="U1193"/>
  <c r="V1192"/>
  <c r="U1192"/>
  <c r="V1191"/>
  <c r="U1191"/>
  <c r="V1190"/>
  <c r="U1190"/>
  <c r="V1189"/>
  <c r="U1189"/>
  <c r="V1188"/>
  <c r="U1188"/>
  <c r="V1187"/>
  <c r="U1187"/>
  <c r="V1186"/>
  <c r="U1186"/>
  <c r="V1185"/>
  <c r="U1185"/>
  <c r="V1184"/>
  <c r="U1184"/>
  <c r="U1183"/>
  <c r="V1182"/>
  <c r="U1182"/>
  <c r="V1181"/>
  <c r="U1181"/>
  <c r="V1180"/>
  <c r="U1180"/>
  <c r="V1179"/>
  <c r="U1179"/>
  <c r="V1178"/>
  <c r="U1178"/>
  <c r="V1177"/>
  <c r="U1177"/>
  <c r="V1176"/>
  <c r="U1176"/>
  <c r="V1175"/>
  <c r="U1175"/>
  <c r="V1174"/>
  <c r="U1174"/>
  <c r="V1173"/>
  <c r="U1173"/>
  <c r="V1172"/>
  <c r="U1172"/>
  <c r="U1171"/>
  <c r="V1170"/>
  <c r="U1170"/>
  <c r="V1169"/>
  <c r="U1169"/>
  <c r="V1168"/>
  <c r="U1168"/>
  <c r="V1167"/>
  <c r="U1167"/>
  <c r="V1166"/>
  <c r="U1166"/>
  <c r="V1165"/>
  <c r="U1165"/>
  <c r="V1164"/>
  <c r="U1164"/>
  <c r="V1163"/>
  <c r="U1163"/>
  <c r="V1162"/>
  <c r="U1162"/>
  <c r="V1161"/>
  <c r="U1161"/>
  <c r="V1160"/>
  <c r="U1160"/>
  <c r="V1159"/>
  <c r="U1159"/>
  <c r="V1158"/>
  <c r="U1158"/>
  <c r="V1157"/>
  <c r="U1157"/>
  <c r="V1156"/>
  <c r="U1156"/>
  <c r="V1155"/>
  <c r="U1155"/>
  <c r="V1154"/>
  <c r="U1154"/>
  <c r="V1153"/>
  <c r="U1153"/>
  <c r="V1152"/>
  <c r="V1151"/>
  <c r="U1151"/>
  <c r="V1150"/>
  <c r="U1150"/>
  <c r="V1149"/>
  <c r="U1149"/>
  <c r="V1148"/>
  <c r="U1148"/>
  <c r="V1147"/>
  <c r="U1147"/>
  <c r="V1146"/>
  <c r="U1146"/>
  <c r="V1145"/>
  <c r="U1145"/>
  <c r="V1144"/>
  <c r="U1144"/>
  <c r="V1142"/>
  <c r="U1142"/>
  <c r="V1141"/>
  <c r="U1141"/>
  <c r="V1140"/>
  <c r="U1140"/>
  <c r="V1139"/>
  <c r="U1139"/>
  <c r="V1138"/>
  <c r="U1138"/>
  <c r="V1137"/>
  <c r="U1137"/>
  <c r="V1136"/>
  <c r="U1136"/>
  <c r="V1135"/>
  <c r="U1135"/>
  <c r="U1134"/>
  <c r="V1133"/>
  <c r="U1133"/>
  <c r="U1132"/>
  <c r="V1131"/>
  <c r="U1131"/>
  <c r="V1130"/>
  <c r="U1130"/>
  <c r="V1129"/>
  <c r="U1129"/>
  <c r="V1128"/>
  <c r="U1128"/>
  <c r="V1127"/>
  <c r="U1127"/>
  <c r="V1126"/>
  <c r="U1126"/>
  <c r="V1125"/>
  <c r="U1125"/>
  <c r="V1124"/>
  <c r="U1124"/>
  <c r="V1123"/>
  <c r="U1123"/>
  <c r="U1122"/>
  <c r="V1121"/>
  <c r="U1121"/>
  <c r="V1120"/>
  <c r="U1120"/>
  <c r="V1119"/>
  <c r="U1119"/>
  <c r="V1118"/>
  <c r="U1118"/>
  <c r="V1117"/>
  <c r="U1117"/>
  <c r="V1116"/>
  <c r="U1116"/>
  <c r="U1115"/>
  <c r="V1114"/>
  <c r="U1114"/>
  <c r="V1113"/>
  <c r="U1113"/>
  <c r="U1112"/>
  <c r="U1111"/>
  <c r="V1110"/>
  <c r="U1110"/>
  <c r="V1109"/>
  <c r="U1109"/>
  <c r="V1108"/>
  <c r="U1108"/>
  <c r="V1107"/>
  <c r="U1107"/>
  <c r="V1106"/>
  <c r="U1106"/>
  <c r="U1105"/>
  <c r="V1104"/>
  <c r="U1104"/>
  <c r="V1103"/>
  <c r="U1103"/>
  <c r="V1102"/>
  <c r="U1102"/>
  <c r="V1101"/>
  <c r="U1101"/>
  <c r="V1100"/>
  <c r="U1100"/>
  <c r="V1099"/>
  <c r="U1099"/>
  <c r="V1098"/>
  <c r="U1098"/>
  <c r="V1097"/>
  <c r="U1097"/>
  <c r="V1096"/>
  <c r="U1096"/>
  <c r="V1095"/>
  <c r="U1095"/>
  <c r="V1094"/>
  <c r="U1094"/>
  <c r="V1093"/>
  <c r="U1093"/>
  <c r="V1092"/>
  <c r="U1092"/>
  <c r="V1091"/>
  <c r="U1091"/>
  <c r="V1090"/>
  <c r="U1090"/>
  <c r="V1089"/>
  <c r="U1089"/>
  <c r="V1088"/>
  <c r="U1088"/>
  <c r="V1087"/>
  <c r="V1086"/>
  <c r="U1086"/>
  <c r="V1085"/>
  <c r="U1085"/>
  <c r="V1084"/>
  <c r="U1084"/>
  <c r="V1083"/>
  <c r="U1083"/>
  <c r="V1082"/>
  <c r="U1082"/>
  <c r="V1081"/>
  <c r="U1081"/>
  <c r="V1080"/>
  <c r="U1080"/>
  <c r="V1079"/>
  <c r="U1079"/>
  <c r="V1078"/>
  <c r="U1078"/>
  <c r="U1077"/>
  <c r="V1076"/>
  <c r="U1076"/>
  <c r="V1075"/>
  <c r="U1075"/>
  <c r="V1074"/>
  <c r="U1074"/>
  <c r="V1073"/>
  <c r="U1073"/>
  <c r="V1072"/>
  <c r="U1072"/>
  <c r="V1071"/>
  <c r="U1071"/>
  <c r="V1070"/>
  <c r="U1070"/>
  <c r="V1069"/>
  <c r="U1069"/>
  <c r="V1068"/>
  <c r="U1068"/>
  <c r="V1067"/>
  <c r="U1067"/>
  <c r="V1066"/>
  <c r="U1066"/>
  <c r="V1065"/>
  <c r="U1065"/>
  <c r="V1064"/>
  <c r="U1064"/>
  <c r="V1063"/>
  <c r="U1063"/>
  <c r="V1062"/>
  <c r="U1062"/>
  <c r="V1061"/>
  <c r="U1061"/>
  <c r="V1060"/>
  <c r="U1060"/>
  <c r="V1059"/>
  <c r="U1059"/>
  <c r="V1058"/>
  <c r="U1058"/>
  <c r="V1057"/>
  <c r="U1057"/>
  <c r="V1056"/>
  <c r="U1056"/>
  <c r="V1055"/>
  <c r="U1055"/>
  <c r="V1054"/>
  <c r="U1054"/>
  <c r="V1053"/>
  <c r="U1053"/>
  <c r="V1052"/>
  <c r="U1052"/>
  <c r="V1051"/>
  <c r="U1051"/>
  <c r="V1050"/>
  <c r="U1050"/>
  <c r="V1049"/>
  <c r="U1049"/>
  <c r="V1048"/>
  <c r="U1048"/>
  <c r="V1047"/>
  <c r="U1047"/>
  <c r="V1046"/>
  <c r="U1046"/>
  <c r="V1045"/>
  <c r="U1045"/>
  <c r="V1044"/>
  <c r="U1044"/>
  <c r="V1043"/>
  <c r="U1043"/>
  <c r="U1042"/>
  <c r="V1041"/>
  <c r="U1041"/>
  <c r="V1040"/>
  <c r="U1040"/>
  <c r="V1039"/>
  <c r="U1039"/>
  <c r="V1038"/>
  <c r="U1038"/>
  <c r="V1037"/>
  <c r="U1037"/>
  <c r="V1036"/>
  <c r="U1036"/>
  <c r="V1035"/>
  <c r="U1035"/>
  <c r="V1034"/>
  <c r="U1034"/>
  <c r="V1033"/>
  <c r="U1033"/>
  <c r="V1032"/>
  <c r="U1032"/>
  <c r="V1031"/>
  <c r="U1031"/>
  <c r="V1030"/>
  <c r="U1030"/>
  <c r="V1029"/>
  <c r="U1029"/>
  <c r="V1028"/>
  <c r="U1028"/>
  <c r="V1027"/>
  <c r="U1027"/>
  <c r="V1026"/>
  <c r="U1026"/>
  <c r="V1025"/>
  <c r="U1025"/>
  <c r="V1024"/>
  <c r="U1024"/>
  <c r="V1023"/>
  <c r="U1023"/>
  <c r="V1022"/>
  <c r="U1022"/>
  <c r="V1021"/>
  <c r="U1021"/>
  <c r="U1020"/>
  <c r="V1019"/>
  <c r="U1019"/>
  <c r="V1018"/>
  <c r="U1018"/>
  <c r="V1017"/>
  <c r="U1017"/>
  <c r="V1016"/>
  <c r="U1016"/>
  <c r="V1015"/>
  <c r="U1015"/>
  <c r="V1014"/>
  <c r="U1014"/>
  <c r="V1013"/>
  <c r="U1013"/>
  <c r="V1012"/>
  <c r="U1012"/>
  <c r="V1011"/>
  <c r="U1011"/>
  <c r="V1010"/>
  <c r="U1010"/>
  <c r="V1009"/>
  <c r="U1009"/>
  <c r="V1008"/>
  <c r="U1008"/>
  <c r="V1007"/>
  <c r="U1007"/>
  <c r="V1006"/>
  <c r="U1006"/>
  <c r="V1005"/>
  <c r="U1005"/>
  <c r="V1004"/>
  <c r="U1004"/>
  <c r="V1003"/>
  <c r="U1003"/>
  <c r="V1002"/>
  <c r="U1002"/>
  <c r="V1001"/>
  <c r="U1001"/>
  <c r="V1000"/>
  <c r="U1000"/>
  <c r="V999"/>
  <c r="U999"/>
  <c r="V998"/>
  <c r="U998"/>
  <c r="V997"/>
  <c r="U997"/>
  <c r="V996"/>
  <c r="U996"/>
  <c r="V995"/>
  <c r="U995"/>
  <c r="V994"/>
  <c r="U994"/>
  <c r="V993"/>
  <c r="U993"/>
  <c r="V992"/>
  <c r="U992"/>
  <c r="V991"/>
  <c r="U991"/>
  <c r="V990"/>
  <c r="U990"/>
  <c r="V989"/>
  <c r="U989"/>
  <c r="V988"/>
  <c r="U988"/>
  <c r="V987"/>
  <c r="U987"/>
  <c r="V986"/>
  <c r="U986"/>
  <c r="V985"/>
  <c r="U985"/>
  <c r="V984"/>
  <c r="U984"/>
  <c r="V983"/>
  <c r="U983"/>
  <c r="V982"/>
  <c r="U982"/>
  <c r="V981"/>
  <c r="U981"/>
  <c r="V980"/>
  <c r="U980"/>
  <c r="V979"/>
  <c r="U979"/>
  <c r="V978"/>
  <c r="U978"/>
  <c r="V977"/>
  <c r="U977"/>
  <c r="V976"/>
  <c r="U976"/>
  <c r="V975"/>
  <c r="U975"/>
  <c r="V974"/>
  <c r="U974"/>
  <c r="V973"/>
  <c r="U973"/>
  <c r="V972"/>
  <c r="U972"/>
  <c r="V971"/>
  <c r="U971"/>
  <c r="V970"/>
  <c r="U970"/>
  <c r="V969"/>
  <c r="U969"/>
  <c r="V968"/>
  <c r="U968"/>
  <c r="U967"/>
  <c r="U966"/>
  <c r="V965"/>
  <c r="U965"/>
  <c r="V964"/>
  <c r="U964"/>
  <c r="V963"/>
  <c r="U963"/>
  <c r="V962"/>
  <c r="U962"/>
  <c r="V961"/>
  <c r="U961"/>
  <c r="V960"/>
  <c r="U960"/>
  <c r="V959"/>
  <c r="U959"/>
  <c r="V958"/>
  <c r="U958"/>
  <c r="V957"/>
  <c r="U957"/>
  <c r="V956"/>
  <c r="U956"/>
  <c r="V955"/>
  <c r="U955"/>
  <c r="V954"/>
  <c r="U954"/>
  <c r="V953"/>
  <c r="U953"/>
  <c r="V952"/>
  <c r="U952"/>
  <c r="V951"/>
  <c r="U951"/>
  <c r="V950"/>
  <c r="U950"/>
  <c r="V949"/>
  <c r="U949"/>
  <c r="V948"/>
  <c r="U948"/>
  <c r="V947"/>
  <c r="U947"/>
  <c r="V946"/>
  <c r="U946"/>
  <c r="V945"/>
  <c r="U945"/>
  <c r="V944"/>
  <c r="U944"/>
  <c r="U943"/>
  <c r="V942"/>
  <c r="U942"/>
  <c r="U941"/>
  <c r="V940"/>
  <c r="U940"/>
  <c r="V939"/>
  <c r="U939"/>
  <c r="V938"/>
  <c r="U938"/>
  <c r="V937"/>
  <c r="U937"/>
  <c r="V936"/>
  <c r="U936"/>
  <c r="V935"/>
  <c r="U935"/>
  <c r="V934"/>
  <c r="U934"/>
  <c r="V933"/>
  <c r="U933"/>
  <c r="V932"/>
  <c r="U932"/>
  <c r="V931"/>
  <c r="U931"/>
  <c r="V930"/>
  <c r="U930"/>
  <c r="U929"/>
  <c r="V928"/>
  <c r="U928"/>
  <c r="V927"/>
  <c r="U927"/>
  <c r="V926"/>
  <c r="U926"/>
  <c r="V925"/>
  <c r="U925"/>
  <c r="V924"/>
  <c r="U924"/>
  <c r="V923"/>
  <c r="U923"/>
  <c r="V922"/>
  <c r="U922"/>
  <c r="V921"/>
  <c r="U921"/>
  <c r="V920"/>
  <c r="U920"/>
  <c r="V919"/>
  <c r="U919"/>
  <c r="V918"/>
  <c r="U918"/>
  <c r="V917"/>
  <c r="U917"/>
  <c r="V916"/>
  <c r="U916"/>
  <c r="V915"/>
  <c r="U915"/>
  <c r="U914"/>
  <c r="V913"/>
  <c r="U913"/>
  <c r="V912"/>
  <c r="U912"/>
  <c r="V911"/>
  <c r="U911"/>
  <c r="V910"/>
  <c r="U910"/>
  <c r="V909"/>
  <c r="U909"/>
  <c r="V908"/>
  <c r="U908"/>
  <c r="V907"/>
  <c r="U907"/>
  <c r="V906"/>
  <c r="U906"/>
  <c r="V905"/>
  <c r="U905"/>
  <c r="V904"/>
  <c r="U904"/>
  <c r="V903"/>
  <c r="U903"/>
  <c r="V902"/>
  <c r="U902"/>
  <c r="V901"/>
  <c r="U901"/>
  <c r="V900"/>
  <c r="U900"/>
  <c r="U899"/>
  <c r="U898"/>
  <c r="V897"/>
  <c r="U897"/>
  <c r="V896"/>
  <c r="U896"/>
  <c r="V895"/>
  <c r="U895"/>
  <c r="V894"/>
  <c r="U894"/>
  <c r="V893"/>
  <c r="U893"/>
  <c r="V892"/>
  <c r="U892"/>
  <c r="V891"/>
  <c r="U891"/>
  <c r="V890"/>
  <c r="U890"/>
  <c r="V889"/>
  <c r="U889"/>
  <c r="V888"/>
  <c r="U888"/>
  <c r="V887"/>
  <c r="U887"/>
  <c r="V886"/>
  <c r="U886"/>
  <c r="V885"/>
  <c r="U885"/>
  <c r="V884"/>
  <c r="U884"/>
  <c r="V883"/>
  <c r="U883"/>
  <c r="V882"/>
  <c r="U882"/>
  <c r="V881"/>
  <c r="U881"/>
  <c r="V880"/>
  <c r="U880"/>
  <c r="V879"/>
  <c r="U879"/>
  <c r="V878"/>
  <c r="U878"/>
  <c r="V877"/>
  <c r="U877"/>
  <c r="V876"/>
  <c r="U876"/>
  <c r="V875"/>
  <c r="U875"/>
  <c r="V874"/>
  <c r="U874"/>
  <c r="V873"/>
  <c r="U873"/>
  <c r="V872"/>
  <c r="U872"/>
  <c r="V871"/>
  <c r="U871"/>
  <c r="V870"/>
  <c r="U870"/>
  <c r="V869"/>
  <c r="U869"/>
  <c r="V868"/>
  <c r="U868"/>
  <c r="V867"/>
  <c r="U867"/>
  <c r="V866"/>
  <c r="U866"/>
  <c r="V865"/>
  <c r="U865"/>
  <c r="V864"/>
  <c r="U864"/>
  <c r="V863"/>
  <c r="U863"/>
  <c r="V862"/>
  <c r="U862"/>
  <c r="V861"/>
  <c r="U861"/>
  <c r="V860"/>
  <c r="U860"/>
  <c r="V859"/>
  <c r="U859"/>
  <c r="U858"/>
  <c r="V857"/>
  <c r="U857"/>
  <c r="V856"/>
  <c r="U856"/>
  <c r="V855"/>
  <c r="U855"/>
  <c r="V854"/>
  <c r="U854"/>
  <c r="V853"/>
  <c r="U853"/>
  <c r="V852"/>
  <c r="U852"/>
  <c r="V851"/>
  <c r="U851"/>
  <c r="V850"/>
  <c r="U850"/>
  <c r="V849"/>
  <c r="U849"/>
  <c r="V848"/>
  <c r="U848"/>
  <c r="V847"/>
  <c r="U847"/>
  <c r="V846"/>
  <c r="U846"/>
  <c r="V845"/>
  <c r="U845"/>
  <c r="V844"/>
  <c r="U844"/>
  <c r="V843"/>
  <c r="U843"/>
  <c r="V842"/>
  <c r="U842"/>
  <c r="V841"/>
  <c r="U841"/>
  <c r="V840"/>
  <c r="U840"/>
  <c r="V839"/>
  <c r="U839"/>
  <c r="V838"/>
  <c r="U838"/>
  <c r="U837"/>
  <c r="V836"/>
  <c r="U836"/>
  <c r="V835"/>
  <c r="U835"/>
  <c r="V834"/>
  <c r="U834"/>
  <c r="V833"/>
  <c r="V832"/>
  <c r="U832"/>
  <c r="V831"/>
  <c r="U831"/>
  <c r="V830"/>
  <c r="U830"/>
  <c r="V829"/>
  <c r="U829"/>
  <c r="V828"/>
  <c r="U828"/>
  <c r="V827"/>
  <c r="U827"/>
  <c r="V826"/>
  <c r="U826"/>
  <c r="V825"/>
  <c r="U825"/>
  <c r="V824"/>
  <c r="U824"/>
  <c r="V823"/>
  <c r="U823"/>
  <c r="V822"/>
  <c r="U822"/>
  <c r="V821"/>
  <c r="U821"/>
  <c r="V820"/>
  <c r="U820"/>
  <c r="V819"/>
  <c r="U819"/>
  <c r="V818"/>
  <c r="U818"/>
  <c r="V817"/>
  <c r="U817"/>
  <c r="V816"/>
  <c r="U816"/>
  <c r="V815"/>
  <c r="U815"/>
  <c r="V814"/>
  <c r="U814"/>
  <c r="V813"/>
  <c r="U813"/>
  <c r="V812"/>
  <c r="U812"/>
  <c r="V811"/>
  <c r="U811"/>
  <c r="V810"/>
  <c r="U810"/>
  <c r="V809"/>
  <c r="U809"/>
  <c r="V808"/>
  <c r="U808"/>
  <c r="V807"/>
  <c r="U807"/>
  <c r="V806"/>
  <c r="U806"/>
  <c r="V805"/>
  <c r="U805"/>
  <c r="V804"/>
  <c r="U804"/>
  <c r="V803"/>
  <c r="U803"/>
  <c r="V802"/>
  <c r="U802"/>
  <c r="V801"/>
  <c r="U801"/>
  <c r="V800"/>
  <c r="U800"/>
  <c r="V799"/>
  <c r="U799"/>
  <c r="V798"/>
  <c r="U798"/>
  <c r="V797"/>
  <c r="U797"/>
  <c r="V796"/>
  <c r="U796"/>
  <c r="V795"/>
  <c r="U795"/>
  <c r="V794"/>
  <c r="U794"/>
  <c r="V793"/>
  <c r="U793"/>
  <c r="V792"/>
  <c r="U792"/>
  <c r="V791"/>
  <c r="U791"/>
  <c r="U790"/>
  <c r="U789"/>
  <c r="V788"/>
  <c r="U788"/>
  <c r="V787"/>
  <c r="U787"/>
  <c r="V786"/>
  <c r="U786"/>
  <c r="V785"/>
  <c r="U785"/>
  <c r="V784"/>
  <c r="U784"/>
  <c r="V783"/>
  <c r="U783"/>
  <c r="V782"/>
  <c r="U782"/>
  <c r="V781"/>
  <c r="U781"/>
  <c r="V780"/>
  <c r="U780"/>
  <c r="V779"/>
  <c r="U779"/>
  <c r="V778"/>
  <c r="U778"/>
  <c r="V777"/>
  <c r="U777"/>
  <c r="V776"/>
  <c r="U776"/>
  <c r="V775"/>
  <c r="U775"/>
  <c r="V774"/>
  <c r="U774"/>
  <c r="V773"/>
  <c r="U773"/>
  <c r="V772"/>
  <c r="U772"/>
  <c r="V771"/>
  <c r="U771"/>
  <c r="V770"/>
  <c r="U770"/>
  <c r="V769"/>
  <c r="U769"/>
  <c r="V768"/>
  <c r="U768"/>
  <c r="V767"/>
  <c r="U767"/>
  <c r="V766"/>
  <c r="U766"/>
  <c r="U765"/>
  <c r="V764"/>
  <c r="U764"/>
  <c r="U763"/>
  <c r="V762"/>
  <c r="U762"/>
  <c r="V761"/>
  <c r="U761"/>
  <c r="V760"/>
  <c r="U760"/>
  <c r="V759"/>
  <c r="U759"/>
  <c r="V758"/>
  <c r="U758"/>
  <c r="V757"/>
  <c r="U757"/>
  <c r="V756"/>
  <c r="U756"/>
  <c r="V755"/>
  <c r="U755"/>
  <c r="V754"/>
  <c r="U754"/>
  <c r="V753"/>
  <c r="U753"/>
  <c r="V752"/>
  <c r="U752"/>
  <c r="V751"/>
  <c r="U751"/>
  <c r="V750"/>
  <c r="U750"/>
  <c r="V749"/>
  <c r="U749"/>
  <c r="V748"/>
  <c r="U748"/>
  <c r="V747"/>
  <c r="U747"/>
  <c r="V746"/>
  <c r="U746"/>
  <c r="V745"/>
  <c r="U745"/>
  <c r="V744"/>
  <c r="U744"/>
  <c r="V743"/>
  <c r="U743"/>
  <c r="V742"/>
  <c r="U742"/>
  <c r="V741"/>
  <c r="U741"/>
  <c r="V740"/>
  <c r="U740"/>
  <c r="V739"/>
  <c r="U739"/>
  <c r="V738"/>
  <c r="U738"/>
  <c r="V737"/>
  <c r="U737"/>
  <c r="V736"/>
  <c r="U736"/>
  <c r="V735"/>
  <c r="U735"/>
  <c r="V734"/>
  <c r="U734"/>
  <c r="V733"/>
  <c r="U733"/>
  <c r="V732"/>
  <c r="U732"/>
  <c r="V731"/>
  <c r="U731"/>
  <c r="V730"/>
  <c r="U730"/>
  <c r="V729"/>
  <c r="U729"/>
  <c r="V728"/>
  <c r="U728"/>
  <c r="V727"/>
  <c r="U727"/>
  <c r="V726"/>
  <c r="U726"/>
  <c r="V725"/>
  <c r="U725"/>
  <c r="V724"/>
  <c r="V723"/>
  <c r="U723"/>
  <c r="V722"/>
  <c r="U722"/>
  <c r="V721"/>
  <c r="U721"/>
  <c r="V720"/>
  <c r="U720"/>
  <c r="V719"/>
  <c r="U719"/>
  <c r="V718"/>
  <c r="U718"/>
  <c r="U717"/>
  <c r="V716"/>
  <c r="U716"/>
  <c r="V715"/>
  <c r="U715"/>
  <c r="V714"/>
  <c r="U714"/>
  <c r="V713"/>
  <c r="U713"/>
  <c r="V712"/>
  <c r="U712"/>
  <c r="V711"/>
  <c r="U711"/>
  <c r="V710"/>
  <c r="U710"/>
  <c r="V709"/>
  <c r="U709"/>
  <c r="V708"/>
  <c r="U708"/>
  <c r="V707"/>
  <c r="U707"/>
  <c r="V706"/>
  <c r="U706"/>
  <c r="V705"/>
  <c r="U705"/>
  <c r="V704"/>
  <c r="U704"/>
  <c r="V703"/>
  <c r="U703"/>
  <c r="V702"/>
  <c r="U702"/>
  <c r="V701"/>
  <c r="U701"/>
  <c r="V700"/>
  <c r="U700"/>
  <c r="V699"/>
  <c r="U699"/>
  <c r="V698"/>
  <c r="U698"/>
  <c r="V697"/>
  <c r="U697"/>
  <c r="V696"/>
  <c r="U696"/>
  <c r="V695"/>
  <c r="U695"/>
  <c r="V694"/>
  <c r="U694"/>
  <c r="V693"/>
  <c r="U693"/>
  <c r="V692"/>
  <c r="U692"/>
  <c r="V691"/>
  <c r="U691"/>
  <c r="V690"/>
  <c r="U690"/>
  <c r="V689"/>
  <c r="U689"/>
  <c r="V688"/>
  <c r="U688"/>
  <c r="V687"/>
  <c r="U687"/>
  <c r="V686"/>
  <c r="U686"/>
  <c r="V685"/>
  <c r="U685"/>
  <c r="V683"/>
  <c r="U683"/>
  <c r="V682"/>
  <c r="U682"/>
  <c r="V681"/>
  <c r="U681"/>
  <c r="U680"/>
  <c r="V679"/>
  <c r="U679"/>
  <c r="V678"/>
  <c r="U678"/>
  <c r="U677"/>
  <c r="V676"/>
  <c r="U676"/>
  <c r="V675"/>
  <c r="U675"/>
  <c r="V674"/>
  <c r="U674"/>
  <c r="V673"/>
  <c r="U673"/>
  <c r="V672"/>
  <c r="U672"/>
  <c r="V671"/>
  <c r="U671"/>
  <c r="V670"/>
  <c r="U670"/>
  <c r="V669"/>
  <c r="U669"/>
  <c r="V668"/>
  <c r="U668"/>
  <c r="V667"/>
  <c r="U667"/>
  <c r="V666"/>
  <c r="U666"/>
  <c r="V665"/>
  <c r="U665"/>
  <c r="V664"/>
  <c r="U664"/>
  <c r="V663"/>
  <c r="U663"/>
  <c r="V662"/>
  <c r="U662"/>
  <c r="V661"/>
  <c r="U661"/>
  <c r="V660"/>
  <c r="U660"/>
  <c r="V659"/>
  <c r="U659"/>
  <c r="V658"/>
  <c r="U658"/>
  <c r="V657"/>
  <c r="U657"/>
  <c r="V656"/>
  <c r="U656"/>
  <c r="V655"/>
  <c r="U655"/>
  <c r="V654"/>
  <c r="U654"/>
  <c r="V653"/>
  <c r="U653"/>
  <c r="V652"/>
  <c r="U652"/>
  <c r="V651"/>
  <c r="U651"/>
  <c r="V650"/>
  <c r="U650"/>
  <c r="V649"/>
  <c r="U649"/>
  <c r="V648"/>
  <c r="U648"/>
  <c r="V647"/>
  <c r="U647"/>
  <c r="V646"/>
  <c r="U646"/>
  <c r="V645"/>
  <c r="U645"/>
  <c r="V644"/>
  <c r="U644"/>
  <c r="V643"/>
  <c r="U643"/>
  <c r="V642"/>
  <c r="U642"/>
  <c r="V641"/>
  <c r="U641"/>
  <c r="V640"/>
  <c r="U640"/>
  <c r="V639"/>
  <c r="U639"/>
  <c r="V638"/>
  <c r="U638"/>
  <c r="V637"/>
  <c r="U637"/>
  <c r="V636"/>
  <c r="U636"/>
  <c r="V635"/>
  <c r="U635"/>
  <c r="V634"/>
  <c r="U634"/>
  <c r="V633"/>
  <c r="U633"/>
  <c r="V632"/>
  <c r="U632"/>
  <c r="V631"/>
  <c r="U631"/>
  <c r="V630"/>
  <c r="U630"/>
  <c r="V629"/>
  <c r="U629"/>
  <c r="V628"/>
  <c r="U628"/>
  <c r="V627"/>
  <c r="U627"/>
  <c r="V626"/>
  <c r="U626"/>
  <c r="V625"/>
  <c r="U625"/>
  <c r="V624"/>
  <c r="U624"/>
  <c r="V623"/>
  <c r="U623"/>
  <c r="V622"/>
  <c r="U622"/>
  <c r="V621"/>
  <c r="U621"/>
  <c r="V620"/>
  <c r="U620"/>
  <c r="V619"/>
  <c r="U619"/>
  <c r="V618"/>
  <c r="U618"/>
  <c r="V617"/>
  <c r="V616"/>
  <c r="U616"/>
  <c r="V615"/>
  <c r="U615"/>
  <c r="V614"/>
  <c r="U614"/>
  <c r="U613"/>
  <c r="V612"/>
  <c r="U612"/>
  <c r="V611"/>
  <c r="U611"/>
  <c r="V610"/>
  <c r="U610"/>
  <c r="U609"/>
  <c r="V608"/>
  <c r="U608"/>
  <c r="V607"/>
  <c r="U607"/>
  <c r="V606"/>
  <c r="U606"/>
  <c r="V605"/>
  <c r="U605"/>
  <c r="V604"/>
  <c r="U604"/>
  <c r="V603"/>
  <c r="U603"/>
  <c r="V602"/>
  <c r="U602"/>
  <c r="V601"/>
  <c r="U601"/>
  <c r="V600"/>
  <c r="U600"/>
  <c r="V599"/>
  <c r="U599"/>
  <c r="V598"/>
  <c r="U598"/>
  <c r="V597"/>
  <c r="U597"/>
  <c r="V596"/>
  <c r="U596"/>
  <c r="V595"/>
  <c r="U595"/>
  <c r="V594"/>
  <c r="U594"/>
  <c r="V593"/>
  <c r="U593"/>
  <c r="V592"/>
  <c r="U592"/>
  <c r="V591"/>
  <c r="U591"/>
  <c r="V590"/>
  <c r="U590"/>
  <c r="V589"/>
  <c r="U589"/>
  <c r="V588"/>
  <c r="U588"/>
  <c r="V587"/>
  <c r="U587"/>
  <c r="V586"/>
  <c r="U586"/>
  <c r="V585"/>
  <c r="U585"/>
  <c r="V584"/>
  <c r="U584"/>
  <c r="V583"/>
  <c r="U583"/>
  <c r="V582"/>
  <c r="U582"/>
  <c r="V581"/>
  <c r="U581"/>
  <c r="V580"/>
  <c r="U580"/>
  <c r="V579"/>
  <c r="U579"/>
  <c r="V578"/>
  <c r="U578"/>
  <c r="V577"/>
  <c r="U577"/>
  <c r="V576"/>
  <c r="U576"/>
  <c r="V575"/>
  <c r="U575"/>
  <c r="V574"/>
  <c r="U574"/>
  <c r="V573"/>
  <c r="U573"/>
  <c r="V572"/>
  <c r="U572"/>
  <c r="V571"/>
  <c r="U571"/>
  <c r="V570"/>
  <c r="U570"/>
  <c r="V569"/>
  <c r="U569"/>
  <c r="V568"/>
  <c r="V567"/>
  <c r="U567"/>
  <c r="V566"/>
  <c r="U566"/>
  <c r="V565"/>
  <c r="U565"/>
  <c r="V564"/>
  <c r="U564"/>
  <c r="V563"/>
  <c r="U563"/>
  <c r="V562"/>
  <c r="U562"/>
  <c r="V561"/>
  <c r="U561"/>
  <c r="V560"/>
  <c r="U560"/>
  <c r="V559"/>
  <c r="U559"/>
  <c r="V558"/>
  <c r="U558"/>
  <c r="V557"/>
  <c r="U557"/>
  <c r="V556"/>
  <c r="U556"/>
  <c r="V555"/>
  <c r="U555"/>
  <c r="V554"/>
  <c r="U554"/>
  <c r="V553"/>
  <c r="U553"/>
  <c r="V552"/>
  <c r="U552"/>
  <c r="V551"/>
  <c r="U551"/>
  <c r="V550"/>
  <c r="U550"/>
  <c r="V549"/>
  <c r="U549"/>
  <c r="V548"/>
  <c r="U548"/>
  <c r="V547"/>
  <c r="U547"/>
  <c r="V546"/>
  <c r="U546"/>
  <c r="V545"/>
  <c r="U545"/>
  <c r="V544"/>
  <c r="U544"/>
  <c r="V543"/>
  <c r="U543"/>
  <c r="V542"/>
  <c r="U542"/>
  <c r="V541"/>
  <c r="U541"/>
  <c r="V540"/>
  <c r="U540"/>
  <c r="V539"/>
  <c r="U539"/>
  <c r="V538"/>
  <c r="U538"/>
  <c r="V537"/>
  <c r="U537"/>
  <c r="V536"/>
  <c r="U536"/>
  <c r="V535"/>
  <c r="U535"/>
  <c r="V534"/>
  <c r="U534"/>
  <c r="V533"/>
  <c r="U533"/>
  <c r="V532"/>
  <c r="U532"/>
  <c r="U531"/>
  <c r="V530"/>
  <c r="U530"/>
  <c r="V529"/>
  <c r="U529"/>
  <c r="V528"/>
  <c r="U528"/>
  <c r="V527"/>
  <c r="U527"/>
  <c r="V526"/>
  <c r="U526"/>
  <c r="V525"/>
  <c r="U525"/>
  <c r="V524"/>
  <c r="U524"/>
  <c r="V523"/>
  <c r="U523"/>
  <c r="V522"/>
  <c r="U522"/>
  <c r="V521"/>
  <c r="U521"/>
  <c r="V520"/>
  <c r="U520"/>
  <c r="V519"/>
  <c r="U519"/>
  <c r="V518"/>
  <c r="U518"/>
  <c r="V517"/>
  <c r="U517"/>
  <c r="V516"/>
  <c r="U516"/>
  <c r="V515"/>
  <c r="U515"/>
  <c r="U514"/>
  <c r="V513"/>
  <c r="U513"/>
  <c r="V512"/>
  <c r="U512"/>
  <c r="V511"/>
  <c r="U511"/>
  <c r="V510"/>
  <c r="U510"/>
  <c r="V509"/>
  <c r="U509"/>
  <c r="V508"/>
  <c r="U508"/>
  <c r="V507"/>
  <c r="U507"/>
  <c r="V506"/>
  <c r="U506"/>
  <c r="V505"/>
  <c r="U505"/>
  <c r="U504"/>
  <c r="V503"/>
  <c r="U503"/>
  <c r="V502"/>
  <c r="U502"/>
  <c r="V501"/>
  <c r="U501"/>
  <c r="V500"/>
  <c r="U500"/>
  <c r="V499"/>
  <c r="U499"/>
  <c r="V498"/>
  <c r="U498"/>
  <c r="U497"/>
  <c r="V495"/>
  <c r="U495"/>
  <c r="V494"/>
  <c r="U494"/>
  <c r="V493"/>
  <c r="U493"/>
  <c r="V492"/>
  <c r="U492"/>
  <c r="V491"/>
  <c r="U491"/>
  <c r="V490"/>
  <c r="U490"/>
  <c r="V489"/>
  <c r="U489"/>
  <c r="V488"/>
  <c r="U488"/>
  <c r="V487"/>
  <c r="U487"/>
  <c r="V486"/>
  <c r="U486"/>
  <c r="V485"/>
  <c r="U485"/>
  <c r="U484"/>
  <c r="V483"/>
  <c r="U483"/>
  <c r="V482"/>
  <c r="U482"/>
  <c r="V481"/>
  <c r="U481"/>
  <c r="V480"/>
  <c r="U480"/>
  <c r="V479"/>
  <c r="U479"/>
  <c r="V478"/>
  <c r="U478"/>
  <c r="U477"/>
  <c r="V476"/>
  <c r="U476"/>
  <c r="V475"/>
  <c r="U475"/>
  <c r="V474"/>
  <c r="U474"/>
  <c r="V473"/>
  <c r="U473"/>
  <c r="V472"/>
  <c r="U472"/>
  <c r="V471"/>
  <c r="U471"/>
  <c r="V470"/>
  <c r="U470"/>
  <c r="V469"/>
  <c r="U469"/>
  <c r="U468"/>
  <c r="V467"/>
  <c r="U467"/>
  <c r="V466"/>
  <c r="U466"/>
  <c r="V465"/>
  <c r="U465"/>
  <c r="V464"/>
  <c r="U464"/>
  <c r="V463"/>
  <c r="U463"/>
  <c r="V462"/>
  <c r="U462"/>
  <c r="V461"/>
  <c r="U461"/>
  <c r="V460"/>
  <c r="U460"/>
  <c r="V459"/>
  <c r="U459"/>
  <c r="V458"/>
  <c r="U458"/>
  <c r="V457"/>
  <c r="U457"/>
  <c r="V456"/>
  <c r="U456"/>
  <c r="V455"/>
  <c r="U455"/>
  <c r="V454"/>
  <c r="U454"/>
  <c r="V453"/>
  <c r="U453"/>
  <c r="V452"/>
  <c r="U452"/>
  <c r="V451"/>
  <c r="U451"/>
  <c r="V450"/>
  <c r="U450"/>
  <c r="V449"/>
  <c r="U449"/>
  <c r="V448"/>
  <c r="U448"/>
  <c r="V447"/>
  <c r="U447"/>
  <c r="V446"/>
  <c r="U446"/>
  <c r="V445"/>
  <c r="U445"/>
  <c r="V444"/>
  <c r="U444"/>
  <c r="V443"/>
  <c r="U443"/>
  <c r="V442"/>
  <c r="U442"/>
  <c r="V441"/>
  <c r="U441"/>
  <c r="V440"/>
  <c r="U440"/>
  <c r="V439"/>
  <c r="U439"/>
  <c r="V438"/>
  <c r="U438"/>
  <c r="V437"/>
  <c r="U437"/>
  <c r="V436"/>
  <c r="U436"/>
  <c r="U435"/>
  <c r="U434"/>
  <c r="V433"/>
  <c r="U433"/>
  <c r="V432"/>
  <c r="U432"/>
  <c r="V431"/>
  <c r="U431"/>
  <c r="V430"/>
  <c r="U430"/>
  <c r="V429"/>
  <c r="U429"/>
  <c r="V428"/>
  <c r="U428"/>
  <c r="V427"/>
  <c r="U427"/>
  <c r="V426"/>
  <c r="U426"/>
  <c r="V425"/>
  <c r="U425"/>
  <c r="U424"/>
  <c r="V423"/>
  <c r="U423"/>
  <c r="V422"/>
  <c r="U422"/>
  <c r="V421"/>
  <c r="U421"/>
  <c r="V420"/>
  <c r="U420"/>
  <c r="V419"/>
  <c r="U419"/>
  <c r="V418"/>
  <c r="U418"/>
  <c r="V417"/>
  <c r="U417"/>
  <c r="V416"/>
  <c r="U416"/>
  <c r="V415"/>
  <c r="U415"/>
  <c r="V414"/>
  <c r="U414"/>
  <c r="V413"/>
  <c r="U413"/>
  <c r="V412"/>
  <c r="U412"/>
  <c r="V411"/>
  <c r="U411"/>
  <c r="V410"/>
  <c r="U410"/>
  <c r="V409"/>
  <c r="U409"/>
  <c r="U408"/>
  <c r="U407"/>
  <c r="V406"/>
  <c r="U406"/>
  <c r="V405"/>
  <c r="U405"/>
  <c r="V404"/>
  <c r="U404"/>
  <c r="U403"/>
  <c r="V402"/>
  <c r="U402"/>
  <c r="V401"/>
  <c r="U401"/>
  <c r="V400"/>
  <c r="U400"/>
  <c r="V399"/>
  <c r="U399"/>
  <c r="V398"/>
  <c r="U398"/>
  <c r="V397"/>
  <c r="U397"/>
  <c r="V396"/>
  <c r="U396"/>
  <c r="V395"/>
  <c r="U395"/>
  <c r="V394"/>
  <c r="U394"/>
  <c r="V393"/>
  <c r="U393"/>
  <c r="V392"/>
  <c r="U392"/>
  <c r="V391"/>
  <c r="U391"/>
  <c r="V390"/>
  <c r="U390"/>
  <c r="V389"/>
  <c r="U389"/>
  <c r="V388"/>
  <c r="U388"/>
  <c r="V387"/>
  <c r="U387"/>
  <c r="V386"/>
  <c r="U386"/>
  <c r="V385"/>
  <c r="U385"/>
  <c r="V384"/>
  <c r="U384"/>
  <c r="V383"/>
  <c r="U383"/>
  <c r="V382"/>
  <c r="U382"/>
  <c r="V381"/>
  <c r="U381"/>
  <c r="V380"/>
  <c r="U380"/>
  <c r="V378"/>
  <c r="U378"/>
  <c r="V377"/>
  <c r="U377"/>
  <c r="V376"/>
  <c r="U376"/>
  <c r="V375"/>
  <c r="U375"/>
  <c r="V374"/>
  <c r="U374"/>
  <c r="V373"/>
  <c r="U373"/>
  <c r="V372"/>
  <c r="U372"/>
  <c r="V371"/>
  <c r="U371"/>
  <c r="V370"/>
  <c r="U370"/>
  <c r="V369"/>
  <c r="U369"/>
  <c r="V368"/>
  <c r="U368"/>
  <c r="V367"/>
  <c r="U367"/>
  <c r="V366"/>
  <c r="U366"/>
  <c r="V365"/>
  <c r="U365"/>
  <c r="V364"/>
  <c r="U364"/>
  <c r="V363"/>
  <c r="U363"/>
  <c r="V362"/>
  <c r="U362"/>
  <c r="V361"/>
  <c r="U361"/>
  <c r="V360"/>
  <c r="U360"/>
  <c r="V359"/>
  <c r="U359"/>
  <c r="V358"/>
  <c r="U358"/>
  <c r="V357"/>
  <c r="U357"/>
  <c r="V356"/>
  <c r="U356"/>
  <c r="V355"/>
  <c r="U355"/>
  <c r="V354"/>
  <c r="U354"/>
  <c r="V353"/>
  <c r="U353"/>
  <c r="V352"/>
  <c r="U352"/>
  <c r="V351"/>
  <c r="U351"/>
  <c r="V350"/>
  <c r="U350"/>
  <c r="V349"/>
  <c r="U349"/>
  <c r="V348"/>
  <c r="U348"/>
  <c r="V347"/>
  <c r="U347"/>
  <c r="V346"/>
  <c r="U346"/>
  <c r="V345"/>
  <c r="U345"/>
  <c r="V344"/>
  <c r="U344"/>
  <c r="V343"/>
  <c r="U343"/>
  <c r="V342"/>
  <c r="U342"/>
  <c r="V341"/>
  <c r="U341"/>
  <c r="V340"/>
  <c r="U340"/>
  <c r="U339"/>
  <c r="V338"/>
  <c r="U338"/>
  <c r="V337"/>
  <c r="U337"/>
  <c r="V336"/>
  <c r="U336"/>
  <c r="V335"/>
  <c r="U335"/>
  <c r="U334"/>
  <c r="V333"/>
  <c r="U333"/>
  <c r="V332"/>
  <c r="U332"/>
  <c r="V331"/>
  <c r="U331"/>
  <c r="V330"/>
  <c r="U330"/>
  <c r="V329"/>
  <c r="U329"/>
  <c r="V328"/>
  <c r="U328"/>
  <c r="V327"/>
  <c r="U327"/>
  <c r="V326"/>
  <c r="U326"/>
  <c r="V325"/>
  <c r="U325"/>
  <c r="V324"/>
  <c r="U324"/>
  <c r="U323"/>
  <c r="V322"/>
  <c r="U322"/>
  <c r="V321"/>
  <c r="U321"/>
  <c r="V320"/>
  <c r="U320"/>
  <c r="V319"/>
  <c r="U319"/>
  <c r="V318"/>
  <c r="U318"/>
  <c r="U317"/>
  <c r="V316"/>
  <c r="U316"/>
  <c r="V315"/>
  <c r="U315"/>
  <c r="V314"/>
  <c r="U314"/>
  <c r="V313"/>
  <c r="U313"/>
  <c r="U312"/>
  <c r="V311"/>
  <c r="U311"/>
  <c r="V310"/>
  <c r="U310"/>
  <c r="V309"/>
  <c r="U309"/>
  <c r="V308"/>
  <c r="U308"/>
  <c r="V307"/>
  <c r="U307"/>
  <c r="V306"/>
  <c r="U306"/>
  <c r="V305"/>
  <c r="U305"/>
  <c r="V304"/>
  <c r="U304"/>
  <c r="V303"/>
  <c r="U303"/>
  <c r="V302"/>
  <c r="U302"/>
  <c r="V301"/>
  <c r="U301"/>
  <c r="U300"/>
  <c r="V299"/>
  <c r="U299"/>
  <c r="V298"/>
  <c r="U298"/>
  <c r="V297"/>
  <c r="U297"/>
  <c r="V296"/>
  <c r="U296"/>
  <c r="V295"/>
  <c r="U295"/>
  <c r="V294"/>
  <c r="U294"/>
  <c r="V293"/>
  <c r="U293"/>
  <c r="V292"/>
  <c r="U292"/>
  <c r="V291"/>
  <c r="U291"/>
  <c r="V290"/>
  <c r="U290"/>
  <c r="V289"/>
  <c r="U289"/>
  <c r="V288"/>
  <c r="U288"/>
  <c r="V287"/>
  <c r="U287"/>
  <c r="U286"/>
  <c r="V285"/>
  <c r="U285"/>
  <c r="U284"/>
  <c r="V283"/>
  <c r="U283"/>
  <c r="V282"/>
  <c r="U282"/>
  <c r="V281"/>
  <c r="U281"/>
  <c r="V280"/>
  <c r="U280"/>
  <c r="V279"/>
  <c r="U279"/>
  <c r="V278"/>
  <c r="U278"/>
  <c r="V277"/>
  <c r="U277"/>
  <c r="V276"/>
  <c r="U276"/>
  <c r="V275"/>
  <c r="U275"/>
  <c r="V274"/>
  <c r="U274"/>
  <c r="V273"/>
  <c r="U273"/>
  <c r="V272"/>
  <c r="U272"/>
  <c r="V271"/>
  <c r="U271"/>
  <c r="V270"/>
  <c r="U270"/>
  <c r="V269"/>
  <c r="U269"/>
  <c r="V268"/>
  <c r="U268"/>
  <c r="V267"/>
  <c r="U267"/>
  <c r="V266"/>
  <c r="U266"/>
  <c r="V265"/>
  <c r="U265"/>
  <c r="V264"/>
  <c r="U264"/>
  <c r="V263"/>
  <c r="U263"/>
  <c r="V262"/>
  <c r="U262"/>
  <c r="U261"/>
  <c r="V260"/>
  <c r="U260"/>
  <c r="V259"/>
  <c r="V258"/>
  <c r="U258"/>
  <c r="V257"/>
  <c r="U257"/>
  <c r="V256"/>
  <c r="U256"/>
  <c r="V255"/>
  <c r="U255"/>
  <c r="V254"/>
  <c r="U254"/>
  <c r="V253"/>
  <c r="U253"/>
  <c r="V252"/>
  <c r="U252"/>
  <c r="V251"/>
  <c r="U251"/>
  <c r="V250"/>
  <c r="U250"/>
  <c r="V249"/>
  <c r="U249"/>
  <c r="U248"/>
  <c r="U247"/>
  <c r="V246"/>
  <c r="U246"/>
  <c r="V245"/>
  <c r="U245"/>
  <c r="V244"/>
  <c r="U244"/>
  <c r="V243"/>
  <c r="U243"/>
  <c r="V242"/>
  <c r="U242"/>
  <c r="V241"/>
  <c r="U241"/>
  <c r="V240"/>
  <c r="U240"/>
  <c r="V239"/>
  <c r="U239"/>
  <c r="V238"/>
  <c r="U238"/>
  <c r="V237"/>
  <c r="U237"/>
  <c r="V236"/>
  <c r="U236"/>
  <c r="V235"/>
  <c r="U235"/>
  <c r="V234"/>
  <c r="U234"/>
  <c r="V233"/>
  <c r="U233"/>
  <c r="V232"/>
  <c r="U232"/>
  <c r="V231"/>
  <c r="U231"/>
  <c r="V230"/>
  <c r="U230"/>
  <c r="V229"/>
  <c r="U229"/>
  <c r="V228"/>
  <c r="U228"/>
  <c r="V227"/>
  <c r="U227"/>
  <c r="V226"/>
  <c r="U226"/>
  <c r="V225"/>
  <c r="U225"/>
  <c r="V224"/>
  <c r="U224"/>
  <c r="V223"/>
  <c r="U223"/>
  <c r="V222"/>
  <c r="U222"/>
  <c r="V221"/>
  <c r="U221"/>
  <c r="V220"/>
  <c r="U220"/>
  <c r="V219"/>
  <c r="U219"/>
  <c r="V218"/>
  <c r="U218"/>
  <c r="V217"/>
  <c r="U217"/>
  <c r="U216"/>
  <c r="V215"/>
  <c r="U215"/>
  <c r="V214"/>
  <c r="U214"/>
  <c r="V213"/>
  <c r="U213"/>
  <c r="V212"/>
  <c r="U212"/>
  <c r="V211"/>
  <c r="U211"/>
  <c r="V210"/>
  <c r="U210"/>
  <c r="V209"/>
  <c r="U209"/>
  <c r="V208"/>
  <c r="U208"/>
  <c r="V207"/>
  <c r="U207"/>
  <c r="V206"/>
  <c r="U206"/>
  <c r="V205"/>
  <c r="U205"/>
  <c r="V204"/>
  <c r="U204"/>
  <c r="V203"/>
  <c r="U203"/>
  <c r="V202"/>
  <c r="U202"/>
  <c r="V201"/>
  <c r="U201"/>
  <c r="V200"/>
  <c r="U200"/>
  <c r="V199"/>
  <c r="U199"/>
  <c r="V198"/>
  <c r="U198"/>
  <c r="V197"/>
  <c r="U197"/>
  <c r="V196"/>
  <c r="U196"/>
  <c r="V195"/>
  <c r="U195"/>
  <c r="V194"/>
  <c r="U194"/>
  <c r="V193"/>
  <c r="U193"/>
  <c r="V192"/>
  <c r="U192"/>
  <c r="V191"/>
  <c r="U191"/>
  <c r="V190"/>
  <c r="U190"/>
  <c r="V189"/>
  <c r="U189"/>
  <c r="V188"/>
  <c r="U188"/>
  <c r="V187"/>
  <c r="U187"/>
  <c r="V186"/>
  <c r="U186"/>
  <c r="V185"/>
  <c r="U185"/>
  <c r="V184"/>
  <c r="U184"/>
  <c r="V183"/>
  <c r="U183"/>
  <c r="V182"/>
  <c r="U182"/>
  <c r="V181"/>
  <c r="U181"/>
  <c r="V180"/>
  <c r="U180"/>
  <c r="V179"/>
  <c r="U179"/>
  <c r="V178"/>
  <c r="U178"/>
  <c r="V177"/>
  <c r="U177"/>
  <c r="V176"/>
  <c r="U176"/>
  <c r="V175"/>
  <c r="U175"/>
  <c r="V174"/>
  <c r="U174"/>
  <c r="V173"/>
  <c r="U173"/>
  <c r="V172"/>
  <c r="U172"/>
  <c r="V171"/>
  <c r="U171"/>
  <c r="V170"/>
  <c r="U170"/>
  <c r="V169"/>
  <c r="U169"/>
  <c r="V168"/>
  <c r="U168"/>
  <c r="V167"/>
  <c r="U167"/>
  <c r="V166"/>
  <c r="U166"/>
  <c r="V165"/>
  <c r="U165"/>
  <c r="V164"/>
  <c r="U164"/>
  <c r="V163"/>
  <c r="U163"/>
  <c r="V162"/>
  <c r="U162"/>
  <c r="V161"/>
  <c r="U161"/>
  <c r="V160"/>
  <c r="U160"/>
  <c r="V159"/>
  <c r="U159"/>
  <c r="V158"/>
  <c r="U158"/>
  <c r="V157"/>
  <c r="U157"/>
  <c r="V156"/>
  <c r="U156"/>
  <c r="V155"/>
  <c r="U155"/>
  <c r="V154"/>
  <c r="U154"/>
  <c r="V153"/>
  <c r="U153"/>
  <c r="V152"/>
  <c r="U152"/>
  <c r="V151"/>
  <c r="U151"/>
  <c r="V150"/>
  <c r="U150"/>
  <c r="V149"/>
  <c r="U149"/>
  <c r="V148"/>
  <c r="U148"/>
  <c r="V147"/>
  <c r="U147"/>
  <c r="V146"/>
  <c r="U146"/>
  <c r="V145"/>
  <c r="U145"/>
  <c r="V144"/>
  <c r="U144"/>
  <c r="V143"/>
  <c r="U143"/>
  <c r="V142"/>
  <c r="U142"/>
  <c r="V141"/>
  <c r="U141"/>
  <c r="V140"/>
  <c r="U140"/>
  <c r="V139"/>
  <c r="U139"/>
  <c r="V138"/>
  <c r="U138"/>
  <c r="V137"/>
  <c r="V136"/>
  <c r="U136"/>
  <c r="V135"/>
  <c r="U135"/>
  <c r="V134"/>
  <c r="U134"/>
  <c r="V133"/>
  <c r="U133"/>
  <c r="V132"/>
  <c r="U132"/>
  <c r="V131"/>
  <c r="U131"/>
  <c r="V130"/>
  <c r="U130"/>
  <c r="V129"/>
  <c r="U129"/>
  <c r="V128"/>
  <c r="U128"/>
  <c r="V127"/>
  <c r="U127"/>
  <c r="V126"/>
  <c r="U126"/>
  <c r="V125"/>
  <c r="U125"/>
  <c r="V124"/>
  <c r="U124"/>
  <c r="V123"/>
  <c r="U123"/>
  <c r="V122"/>
  <c r="U122"/>
  <c r="V121"/>
  <c r="U121"/>
  <c r="V120"/>
  <c r="U120"/>
  <c r="V119"/>
  <c r="U119"/>
  <c r="V118"/>
  <c r="U118"/>
  <c r="V117"/>
  <c r="U117"/>
  <c r="V116"/>
  <c r="U116"/>
  <c r="V115"/>
  <c r="U115"/>
  <c r="V114"/>
  <c r="U114"/>
  <c r="V113"/>
  <c r="U113"/>
  <c r="V112"/>
  <c r="U112"/>
  <c r="V111"/>
  <c r="U111"/>
  <c r="V110"/>
  <c r="U110"/>
  <c r="V109"/>
  <c r="U109"/>
  <c r="V108"/>
  <c r="U108"/>
  <c r="V107"/>
  <c r="U107"/>
  <c r="V106"/>
  <c r="U106"/>
  <c r="V105"/>
  <c r="U105"/>
  <c r="V104"/>
  <c r="U104"/>
  <c r="V103"/>
  <c r="U103"/>
  <c r="V102"/>
  <c r="U102"/>
  <c r="V101"/>
  <c r="U101"/>
  <c r="V100"/>
  <c r="U100"/>
  <c r="U99"/>
  <c r="V98"/>
  <c r="U98"/>
  <c r="V97"/>
  <c r="U97"/>
  <c r="V96"/>
  <c r="U96"/>
  <c r="V95"/>
  <c r="U95"/>
  <c r="V94"/>
  <c r="U94"/>
  <c r="V93"/>
  <c r="U93"/>
  <c r="V92"/>
  <c r="U92"/>
  <c r="V91"/>
  <c r="U91"/>
  <c r="V90"/>
  <c r="U90"/>
  <c r="U89"/>
  <c r="V88"/>
  <c r="U88"/>
  <c r="V87"/>
  <c r="U87"/>
  <c r="V86"/>
  <c r="U86"/>
  <c r="V85"/>
  <c r="U85"/>
  <c r="V84"/>
  <c r="U84"/>
  <c r="V83"/>
  <c r="U83"/>
  <c r="V82"/>
  <c r="U82"/>
  <c r="V81"/>
  <c r="U81"/>
  <c r="V80"/>
  <c r="U80"/>
  <c r="V79"/>
  <c r="U79"/>
  <c r="V78"/>
  <c r="U78"/>
  <c r="V77"/>
  <c r="U77"/>
  <c r="V76"/>
  <c r="U76"/>
  <c r="V75"/>
  <c r="U75"/>
  <c r="V74"/>
  <c r="U74"/>
  <c r="V73"/>
  <c r="U73"/>
  <c r="V72"/>
  <c r="U72"/>
  <c r="V71"/>
  <c r="U71"/>
  <c r="U70"/>
  <c r="V69"/>
  <c r="U69"/>
  <c r="V68"/>
  <c r="U68"/>
  <c r="U67"/>
  <c r="V66"/>
  <c r="U66"/>
  <c r="V65"/>
  <c r="U65"/>
  <c r="V64"/>
  <c r="U64"/>
  <c r="V63"/>
  <c r="U63"/>
  <c r="V62"/>
  <c r="U62"/>
  <c r="V61"/>
  <c r="U61"/>
  <c r="V60"/>
  <c r="U60"/>
  <c r="V59"/>
  <c r="U59"/>
  <c r="V58"/>
  <c r="U58"/>
  <c r="V57"/>
  <c r="U57"/>
  <c r="V56"/>
  <c r="U56"/>
  <c r="V55"/>
  <c r="U55"/>
  <c r="V54"/>
  <c r="U54"/>
  <c r="V53"/>
  <c r="U53"/>
  <c r="V52"/>
  <c r="U52"/>
  <c r="V51"/>
  <c r="U51"/>
  <c r="V50"/>
  <c r="U50"/>
  <c r="V49"/>
  <c r="U49"/>
  <c r="V48"/>
  <c r="U48"/>
  <c r="V47"/>
  <c r="U47"/>
  <c r="V46"/>
  <c r="U46"/>
  <c r="U45"/>
  <c r="V44"/>
  <c r="U44"/>
  <c r="V43"/>
  <c r="U43"/>
  <c r="U42"/>
  <c r="V41"/>
  <c r="U41"/>
  <c r="V40"/>
  <c r="U40"/>
  <c r="V39"/>
  <c r="U39"/>
  <c r="V38"/>
  <c r="U38"/>
  <c r="V37"/>
  <c r="U37"/>
  <c r="V36"/>
  <c r="U36"/>
  <c r="V35"/>
  <c r="U35"/>
  <c r="V34"/>
  <c r="U34"/>
  <c r="V33"/>
  <c r="U33"/>
  <c r="V32"/>
  <c r="U32"/>
  <c r="V31"/>
  <c r="U31"/>
  <c r="V30"/>
  <c r="U30"/>
  <c r="V29"/>
  <c r="U29"/>
  <c r="V28"/>
  <c r="U28"/>
  <c r="V27"/>
  <c r="U27"/>
  <c r="V26"/>
  <c r="U26"/>
  <c r="V25"/>
  <c r="U25"/>
  <c r="V24"/>
  <c r="U24"/>
  <c r="V23"/>
  <c r="U23"/>
  <c r="V22"/>
  <c r="U22"/>
  <c r="V21"/>
  <c r="U21"/>
  <c r="V20"/>
  <c r="U20"/>
  <c r="U19"/>
  <c r="V18"/>
  <c r="U18"/>
  <c r="V17"/>
  <c r="U17"/>
  <c r="V16"/>
  <c r="U16"/>
  <c r="V15"/>
  <c r="U15"/>
  <c r="V14"/>
  <c r="U14"/>
  <c r="V13"/>
  <c r="U13"/>
  <c r="V12"/>
  <c r="U12"/>
  <c r="V11"/>
  <c r="U11"/>
  <c r="V10"/>
  <c r="U10"/>
  <c r="U9"/>
  <c r="V8"/>
  <c r="U8"/>
  <c r="A5"/>
  <c r="A4"/>
</calcChain>
</file>

<file path=xl/sharedStrings.xml><?xml version="1.0" encoding="utf-8"?>
<sst xmlns="http://schemas.openxmlformats.org/spreadsheetml/2006/main" count="21667" uniqueCount="9238">
  <si>
    <t>ИНФРА-М Научно-издательский Центр</t>
  </si>
  <si>
    <t>02. Гуманитарные и социальные науки (для учебных заведений и библиотек)
от 07.05.2024</t>
  </si>
  <si>
    <t>Данный прайс-лист не является публичной офертой</t>
  </si>
  <si>
    <t>127214, Москва г, Полярная ул, дом № 31 В, строение 1 эт.3 пом.I.к.9Б</t>
  </si>
  <si>
    <t>Издательство оставляет за собой право на изменение ассортимента и цен на издания.
Информацию о наличии товара и актуальные цены уточняйте у вашего курирующего менеджера 
или напишите нам на электронную почту books@infra-m.ru</t>
  </si>
  <si>
    <t>тел/факс: +7 (495) 280-15-96</t>
  </si>
  <si>
    <t>Заказ</t>
  </si>
  <si>
    <t>Код</t>
  </si>
  <si>
    <t>Цена опт.</t>
  </si>
  <si>
    <t>Наименование товара</t>
  </si>
  <si>
    <t>Основное заглавие</t>
  </si>
  <si>
    <t>Авторы</t>
  </si>
  <si>
    <t>Оформление</t>
  </si>
  <si>
    <t>Издательство</t>
  </si>
  <si>
    <t>Серия</t>
  </si>
  <si>
    <t>Ст-т</t>
  </si>
  <si>
    <t>Стр.</t>
  </si>
  <si>
    <t>Год</t>
  </si>
  <si>
    <t>ISBN</t>
  </si>
  <si>
    <t>Раздел</t>
  </si>
  <si>
    <t>Подраздел</t>
  </si>
  <si>
    <t>Вид издания</t>
  </si>
  <si>
    <t>Уровень образования</t>
  </si>
  <si>
    <t>ОКСО</t>
  </si>
  <si>
    <t>Гриф МО</t>
  </si>
  <si>
    <t>Доп. мат. на znanium.com</t>
  </si>
  <si>
    <t>Обложка</t>
  </si>
  <si>
    <t>ЭБС Znanium.com</t>
  </si>
  <si>
    <t>Аффилиация автора</t>
  </si>
  <si>
    <t>Новинка месяца</t>
  </si>
  <si>
    <t>ПООП</t>
  </si>
  <si>
    <t>К</t>
  </si>
  <si>
    <t>Ш</t>
  </si>
  <si>
    <t>185300.07.01</t>
  </si>
  <si>
    <t>"Влесова книга": введ. к науч. анализу источ.: Моногр. / Д.С.Логинов - М.: НИЦ ИНФРА-М, 2022-391с.(о)</t>
  </si>
  <si>
    <t>"ВЛЕСОВА КНИГА": ВВЕДЕНИЕ К НАУЧНОМУ АНАЛИЗУ ИСТОЧНИКА</t>
  </si>
  <si>
    <t>Логинов Д. С.</t>
  </si>
  <si>
    <t>Обложка. КБС</t>
  </si>
  <si>
    <t>НИЦ ИНФРА-М</t>
  </si>
  <si>
    <t>Научная мысль</t>
  </si>
  <si>
    <t>978-5-16-016800-5</t>
  </si>
  <si>
    <t>ОБЩЕСТВЕННЫЕ НАУКИ.  ЭКОНОМИКА. ПРАВО</t>
  </si>
  <si>
    <t>История. Исторические науки</t>
  </si>
  <si>
    <t>Монография</t>
  </si>
  <si>
    <t>Дополнительное образование / Дополнительное профессиональное образование</t>
  </si>
  <si>
    <t>46.03.01, 46.04.01, 46.06.01</t>
  </si>
  <si>
    <t>Рязанский государственный медицинский университет им. академика И.П. Павлова</t>
  </si>
  <si>
    <t>0112</t>
  </si>
  <si>
    <t>414350.06.01</t>
  </si>
  <si>
    <t>"Идем в Третьяковку!": Уч.пос. для иностранных студентов / Н.Н.Левшина - М.:Форум,2023-128с.(О)</t>
  </si>
  <si>
    <t>"ИДЕМ В ТРЕТЬЯКОВКУ!"</t>
  </si>
  <si>
    <t>Левшина Н. Н., Филиппова О. Н.</t>
  </si>
  <si>
    <t>Форум</t>
  </si>
  <si>
    <t>978-5-91134-725-3</t>
  </si>
  <si>
    <t>Культура. Средства массовой информации</t>
  </si>
  <si>
    <t>Учебное пособие</t>
  </si>
  <si>
    <t>Профессиональное образование / ВО - Бакалавриат</t>
  </si>
  <si>
    <t>00.03.09</t>
  </si>
  <si>
    <t>Московский педагогический государственный университет</t>
  </si>
  <si>
    <t>0113</t>
  </si>
  <si>
    <t>684054.06.01</t>
  </si>
  <si>
    <t>"Народ против": протесты и протестующие...: Моногр. / С.Г.Ушкин - М.:НИЦ ИНФРА-М,2023 - 100 с.(Науч.мысль)(О)</t>
  </si>
  <si>
    <t>"НАРОД ПРОТИВ": ПРОТЕСТЫ И ПРОТЕСТУЮЩИЕ В ВИРТУАЛЬНЫХ СОЦИАЛЬНЫХ СЕТЯХ</t>
  </si>
  <si>
    <t>Ушкин С.Г.</t>
  </si>
  <si>
    <t>978-5-16-014079-7</t>
  </si>
  <si>
    <t>Политика. Социология</t>
  </si>
  <si>
    <t>39.03.01, 39.04.01, 41.03.04, 41.04.04</t>
  </si>
  <si>
    <t>Научный центр социально-экономического мониторинга</t>
  </si>
  <si>
    <t>0118</t>
  </si>
  <si>
    <t>683169.03.01</t>
  </si>
  <si>
    <t>"Сверх" как инструмент воздействия и поддержки:.. Моногр. / В.К.Харченко-М.:НИЦ ИНФРА-М,2021-156с(О)</t>
  </si>
  <si>
    <t>"СВЕРХ" КАК ИНСТРУМЕНТ ВОЗДЕЙСТВИЯ И ПОДДЕРЖКИ: СВЕРХМНОГОДЕТНОСТЬ, СВЕРХДОЛГОЛЕТИЕ, РАБОТОСПОСОБНОСТЬ</t>
  </si>
  <si>
    <t>Харченко В.К.</t>
  </si>
  <si>
    <t>978-5-16-014099-5</t>
  </si>
  <si>
    <t>ГУМАНИТАРНЫЕ НАУКИ. РЕЛИГИЯ. ИСКУССТВО</t>
  </si>
  <si>
    <t>Филологические науки</t>
  </si>
  <si>
    <t>45.04.03</t>
  </si>
  <si>
    <t>Белгородский государственный национальный исследовательский университет</t>
  </si>
  <si>
    <t>0119</t>
  </si>
  <si>
    <t>684798.05.01</t>
  </si>
  <si>
    <t>"Тайный ключ русской литературы"...: Монография / С.О.Курьянов-М.:НИЦ ИНФРА-М,2024.-311с.(П)</t>
  </si>
  <si>
    <t>"ТАЙНЫЙ КЛЮЧ РУССКОЙ ЛИТЕРАТУРЫ": ФОРМИРОВАНИЕ И СТАНОВЛЕНИЕ КРЫМСКОГО ТЕКСТА В РУССКОЙ ЛИТЕРАТУРЕ X-XIX ВЕКОВ</t>
  </si>
  <si>
    <t>Курьянов С.О.</t>
  </si>
  <si>
    <t>Переплет 7БЦ/Без шитья</t>
  </si>
  <si>
    <t>Научная мысль - 100 лет КрымФУ</t>
  </si>
  <si>
    <t>978-5-16-014774-1</t>
  </si>
  <si>
    <t>42.03.04, 44.03.05, 45.03.01, 45.03.02, 45.04.01, 45.04.02</t>
  </si>
  <si>
    <t>Крымский федеральный университет им. В.И. Вернадского, структурное подразделение Таврическая академия</t>
  </si>
  <si>
    <t>151950.08.01</t>
  </si>
  <si>
    <t>"Феноменология духа" и проблема структуры..: Моногр. /В.И.Коротких -М: НИЦ ИНФРА-М, 2022 -382с (П)</t>
  </si>
  <si>
    <t>"ФЕНОМЕНОЛОГИЯ ДУХА" И ПРОБЛЕМА СТРУКТУРЫ СИСТЕМЫ ФИЛОСОФИИ В ТВОРЧЕСТВЕ ГЕГЕЛЯ</t>
  </si>
  <si>
    <t>Коротких В.И.</t>
  </si>
  <si>
    <t>978-5-16-009753-4</t>
  </si>
  <si>
    <t>Философия</t>
  </si>
  <si>
    <t>40.03.01, 44.03.01, 44.03.05, 47.03.01, 47.04.01</t>
  </si>
  <si>
    <t>Елецкий государственный университет им. И.А. Бунина</t>
  </si>
  <si>
    <t>0111</t>
  </si>
  <si>
    <t>763312.04.01</t>
  </si>
  <si>
    <t>"Чайка” А. П. Чехова. Поэтика. Проблематика...: Моногр. / А.Г.Головачёва - М.:НИЦ ИНФРА-М,2024 - 235 с.(О)</t>
  </si>
  <si>
    <t>"ЧАЙКА” А. П. ЧЕХОВА. ПОЭТИКА. ПРОБЛЕМАТИКА. ЛИТЕРАТУРНО-ТЕАТРАЛЬНЫЙ КОНТЕКСТ</t>
  </si>
  <si>
    <t>Головачёва А.Г.</t>
  </si>
  <si>
    <t>978-5-16-017152-4</t>
  </si>
  <si>
    <t>44.03.05, 45.07.01, 52.03.04, 52.03.05</t>
  </si>
  <si>
    <t>0122</t>
  </si>
  <si>
    <t>776902.02.01</t>
  </si>
  <si>
    <t>"Человек самоорганизующийся". Психология взаимодейств..: Моногр. / В.В.Гребнева-М.:НИЦ ИНФРА-М,2023-342с.(о)</t>
  </si>
  <si>
    <t>"ЧЕЛОВЕК САМООРГАНИЗУЮЩИЙСЯ". ПСИХОЛОГИЯ ВЗАИМОДЕЙСТВИЯ В СФЕРЕ ВЫСШЕГО ОБРАЗОВАНИЯ</t>
  </si>
  <si>
    <t>Гребнева В.В.</t>
  </si>
  <si>
    <t>978-5-16-017671-0</t>
  </si>
  <si>
    <t>Психология</t>
  </si>
  <si>
    <t>37.04.01, 37.05.02, 37.06.01</t>
  </si>
  <si>
    <t>0123</t>
  </si>
  <si>
    <t>440550.06.01</t>
  </si>
  <si>
    <t>«Американская мечта» сегодня: ср. класс США в конце ХХ - нач. ХХI в./ И.В.Варивончик-М.:НИЦ ИНФРА-М,2021.-317 с..-(Науч.мысль)(о)</t>
  </si>
  <si>
    <t>«АМЕРИКАНСКАЯ МЕЧТА» СЕГОДНЯ: СРЕДНИЙ КЛАСС США В КОНЦЕ ХХ - НАЧАЛЕ ХХI ВЕКА</t>
  </si>
  <si>
    <t>Варивончик И.В.</t>
  </si>
  <si>
    <t>978-5-16-016801-2</t>
  </si>
  <si>
    <t>38.03.01, 38.04.01, 39.03.01, 39.04.01, 41.03.04, 46.03.01, 46.03.03, 46.04.01, 46.04.03, 51.03.01, 51.04.01</t>
  </si>
  <si>
    <t>Белорусский государственный педагогический университет им. М. Танка</t>
  </si>
  <si>
    <t>761523.01.01</t>
  </si>
  <si>
    <t>«Замкнутые вселенные» сопротивления...: Моногр. / А.В.Скиперских - М.:НИЦ ИНФРА-М,2022 - 237 с.(П)</t>
  </si>
  <si>
    <t>«ЗАМКНУТЫЕ ВСЕЛЕННЫЕ» СОПРОТИВЛЕНИЯ: РАЗЫСКАНИЯ В ПРОСТРАНСТВЕ РУССКОЙ КУЛЬТУРЫ</t>
  </si>
  <si>
    <t>Скиперских А.В.</t>
  </si>
  <si>
    <t>Переплет 7БЦ</t>
  </si>
  <si>
    <t>978-5-16-017184-5</t>
  </si>
  <si>
    <t>44.04.01, 44.04.04, 44.06.01, 51.04.01, 51.06.01</t>
  </si>
  <si>
    <t>683429.08.01</t>
  </si>
  <si>
    <t>«Православный тихий Дон» в творчестве..: Моногр. / Л.Г.Сатарова - М.:НИЦ ИНФРА-М,2024 - 270 с.(о)</t>
  </si>
  <si>
    <t>«ПРАВОСЛАВНЫЙ ТИХИЙ ДОН» В ТВОРЧЕСТВЕ М.А. ШОЛОХОВА И ЕГО ПРЕДШЕСТВЕННИКОВ</t>
  </si>
  <si>
    <t>Сатарова Л.Г.</t>
  </si>
  <si>
    <t>978-5-16-017481-5</t>
  </si>
  <si>
    <t>44.03.01, 45.03.01, 45.03.02, 45.03.99</t>
  </si>
  <si>
    <t>Липецкий государственный педагогический университет им. П.П. Семенова-Тян-Шанского</t>
  </si>
  <si>
    <t>719581.05.01</t>
  </si>
  <si>
    <t>«Смена караула»: кадровый резерв Центр.-Азиатских элит. сообществ: Моногр. / Д.Д.Осинина-М.:НИЦ ИНФРА-М,2024-224с.(О)</t>
  </si>
  <si>
    <t>«СМЕНА КАРАУЛА»: КАДРОВЫЙ РЕЗЕРВ ЦЕНТРАЛЬНО-АЗИАТСКИХ ЭЛИТНЫХ СООБЩЕСТВ</t>
  </si>
  <si>
    <t>Осинина Д.Д.</t>
  </si>
  <si>
    <t>Научная мысль - Финансовый университет</t>
  </si>
  <si>
    <t>978-5-16-015680-4</t>
  </si>
  <si>
    <t>41.04.01, 41.04.04, 41.04.05, 41.06.01, 41.07.01</t>
  </si>
  <si>
    <t>Финансовый университет при Правительстве Российской Федерации</t>
  </si>
  <si>
    <t>0120</t>
  </si>
  <si>
    <t>699353.03.01</t>
  </si>
  <si>
    <t>«Советская Атлантида». Мифология революции: Моногр. / М.С.Колесов, - 2 изд.-М.:НИЦ ИНФРА-М,2023.-352с(П)</t>
  </si>
  <si>
    <t>«СОВЕТСКАЯ АТЛАНТИДА». МИФОЛОГИЯ РЕВОЛЮЦИИ, ИЗД.2</t>
  </si>
  <si>
    <t>Колесов М.С.</t>
  </si>
  <si>
    <t>Научная мысль (СевГУ)</t>
  </si>
  <si>
    <t>978-5-16-014778-9</t>
  </si>
  <si>
    <t>46.04.01, 46.06.01</t>
  </si>
  <si>
    <t>Севастопольский государственный университет</t>
  </si>
  <si>
    <t>0220</t>
  </si>
  <si>
    <t>179450.09.01</t>
  </si>
  <si>
    <t>Analyse grammaticale du mot dans la phrase...: Уч.пос. / Ж.Багана - М.:НИЦ ИНФРА-М,2024-103 с.(ВО)(о)</t>
  </si>
  <si>
    <t>ANALYSE GRAMMATICALE DU MOT DANS LA PHRASE (ГРАММАТИЧЕСКИЙ АНАЛИЗ СЛОВ В ПРЕДЛОЖЕНИИ)</t>
  </si>
  <si>
    <t>Багана Ж., Хапилина Е.В.</t>
  </si>
  <si>
    <t>Высшее образование</t>
  </si>
  <si>
    <t>978-5-16-019283-3</t>
  </si>
  <si>
    <t>00.03.02, 00.05.02, 40.03.01, 44.03.01, 44.03.05, 44.04.01, 45.03.01, 45.03.02, 45.04.01</t>
  </si>
  <si>
    <t>Рекомендовано в качестве учебного пособия для студентов высших учебных заведений, обучающихся по направлениям подготовки 45.03.01 «Филология», 45.03.02 «Лингвистика» (квалификация (степень) «бакалавр»)</t>
  </si>
  <si>
    <t>Белгородский государственный институт искусств и культуры</t>
  </si>
  <si>
    <t>095360.10.01</t>
  </si>
  <si>
    <t>Business English for students of economics = Дел. англ..: Уч.пос. / Б.И.Герасимов-2изд.-М.:Форум, ИНФРА-М,2023-183c.(П)</t>
  </si>
  <si>
    <t>BUSINESS ENGLISH FOR STUDENTS OF ECONOMICS = ДЕЛОВОЙ АНГЛИЙСКИЙ ДЛЯ СТУДЕНТОВ-ЭКОНОМИСТОВ, ИЗД.2</t>
  </si>
  <si>
    <t>Герасимов Б.И., Гливенкова О.А., Гунина Н.А. и др.</t>
  </si>
  <si>
    <t>Высшее образование: Бакалавриат</t>
  </si>
  <si>
    <t>978-5-00091-116-7</t>
  </si>
  <si>
    <t>38.03.01, 38.03.02</t>
  </si>
  <si>
    <t>Рекомендовано Методическим советом Учебно-методического центра по профессиональному образованию Департамента образования города Москвы в качестве учебного пособия для студентов образовательных учреждений профессионального образования</t>
  </si>
  <si>
    <t>Тамбовский государственный технический университет</t>
  </si>
  <si>
    <t>0216</t>
  </si>
  <si>
    <t>805404.01.01</t>
  </si>
  <si>
    <t>Business Fundamentals (Основы бизнеса): Уч. / М.В.Мельничук-М.:НИЦ ИНФРА-М,2024.-216 с.(ВО (Финансовый универ.))(п)</t>
  </si>
  <si>
    <t>BUSINESS FUNDAMENTALS (ОСНОВЫ БИЗНЕСА)</t>
  </si>
  <si>
    <t>Мельничук М.В., Анюшенкова О.Н.</t>
  </si>
  <si>
    <t>Высшее образование (Финансовый университет)</t>
  </si>
  <si>
    <t>978-5-16-018712-9</t>
  </si>
  <si>
    <t>Учебник</t>
  </si>
  <si>
    <t>Профессиональное образование</t>
  </si>
  <si>
    <t>38.03.01, 38.03.02, 38.03.03, 38.03.04, 38.03.05, 38.03.06, 38.03.07, 38.03.10</t>
  </si>
  <si>
    <t>Декабрь, 2023</t>
  </si>
  <si>
    <t>0124</t>
  </si>
  <si>
    <t>745690.04.01</t>
  </si>
  <si>
    <t>English Coursebook for Lawyers: Уч. англ.яз. / Е.Б.Попов и др.-М.:НИЦ ИНФРА-М,2024.-314 с.(ВО)(П)</t>
  </si>
  <si>
    <t>ENGLISH COURSEBOOK FOR LAWYERS</t>
  </si>
  <si>
    <t>Попов Е.Б., Феоктистова Е.М., Халюшева Г.Р. и др.</t>
  </si>
  <si>
    <t>Высшее образование: Специалитет</t>
  </si>
  <si>
    <t>978-5-16-016543-1</t>
  </si>
  <si>
    <t>Профессиональное образование / ВО - Специалитет</t>
  </si>
  <si>
    <t>40.05.01, 40.05.02, 40.05.03, 40.05.04</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</si>
  <si>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укрупненной группе специальностей 40.05.00 «Юриспруденция»  (протокол № 8 от 22.06.2020)</t>
  </si>
  <si>
    <t>ДА</t>
  </si>
  <si>
    <t>Московский государственный юридический университет им. О.Е. Кутафина, ф-л Оренбургский институт</t>
  </si>
  <si>
    <t>35</t>
  </si>
  <si>
    <t>0121</t>
  </si>
  <si>
    <t>766449.01.01</t>
  </si>
  <si>
    <t>English for Doctors (Англ. для врачей): Уч.пос. / И.С.Гончарова-М.:НИЦ ИНФРА-М,2023.-272 с.(ВО.Сп)(п)</t>
  </si>
  <si>
    <t>ENGLISH FOR DOCTORS = АНГЛИЙСКИЙ ЯЗЫК ДЛЯ ВРАЧЕЙ</t>
  </si>
  <si>
    <t>Гончарова И.С.</t>
  </si>
  <si>
    <t>978-5-16-017262-0</t>
  </si>
  <si>
    <t>31.05.01, 31.05.02, 31.05.03, 31.05.04</t>
  </si>
  <si>
    <t>Ростовский государственный экономический университет (РИНХ)</t>
  </si>
  <si>
    <t>063800.16.01</t>
  </si>
  <si>
    <t>English for students of economics: Уч./ Л.А.Халилова - 4 изд. - М.:Форум,ИНФРА-М,2023 - 383с. (СПО)(П)</t>
  </si>
  <si>
    <t>ENGLISH FOR STUDENTS OF ECONOMICS = АНГЛИЙСКИЙ ЯЗЫК ДЛЯ СТУДЕНТОВ-ЭКОНОМИСТОВ, ИЗД.4</t>
  </si>
  <si>
    <t>Халилова Л. А.</t>
  </si>
  <si>
    <t>Среднее профессиональное образование</t>
  </si>
  <si>
    <t>978-5-00091-775-6</t>
  </si>
  <si>
    <t>Профессиональное образование / Среднее профессиональное образование</t>
  </si>
  <si>
    <t>38.01.03, 38.02.01, 38.02.02, 38.02.03, 38.02.06, 38.02.07, 38.02.08</t>
  </si>
  <si>
    <t>Допущено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t>
  </si>
  <si>
    <t>Российский государственный гуманитарный университет РГГУ</t>
  </si>
  <si>
    <t>0415</t>
  </si>
  <si>
    <t>786395.01.01</t>
  </si>
  <si>
    <t>English for Students of Electronics. Англ. яз..: Уч. / О.Н.Анюшенкова-М.:НИЦ ИНФРА-М,2023.-462 с.(П)</t>
  </si>
  <si>
    <t>АНГЛИЙСКИЙ ЯЗЫК ДЛЯ СТУДЕНТОВ, ИЗУЧАЮЩИХ ЭЛЕКТРОНИКУ (ENGLISH FOR STUDENTS OF ELECTRONICS)</t>
  </si>
  <si>
    <t>Анюшенкова О.Н.</t>
  </si>
  <si>
    <t>Среднее профессиональное образование (ФинУн)</t>
  </si>
  <si>
    <t>978-5-16-018509-5</t>
  </si>
  <si>
    <t>11.02.03, 11.02.06, 11.02.07, 11.02.09, 11.02.11, 11.02.12, 11.02.13, 11.02.14, 11.02.15, 11.02.16, 11.02.17, 11.02.18, 24.02.04</t>
  </si>
  <si>
    <t>Июль, 2023</t>
  </si>
  <si>
    <t>725294.01.01</t>
  </si>
  <si>
    <t>Ens realissimum: Жизнь и философия И,В, Гёте: Моногр. / П.А.Горохов-М.:НИЦ ИНФРА-М,2021.-401 с..-(Науч.мысль)(П)</t>
  </si>
  <si>
    <t>ENS REALISSIMUM: ЖИЗНЬ И ФИЛОСОФИЯ ИОГАННА ВОЛЬФГАНГА ГЁТЕ</t>
  </si>
  <si>
    <t>Горохов П.А.</t>
  </si>
  <si>
    <t>978-5-16-015882-2</t>
  </si>
  <si>
    <t>47.03.01, 47.04.01, 47.06.01</t>
  </si>
  <si>
    <t>Российская академия народного хозяйства и государственной службы при Президенте РФ, Оренбургский ф-л</t>
  </si>
  <si>
    <t>684900.08.01</t>
  </si>
  <si>
    <t>Essential English for Law (англ. яз. для юристов): Уч.пос. / Т.В.Сидоренко - М.:НИЦ ИНФРА-М,2024- 282с(П)</t>
  </si>
  <si>
    <t>ESSENTIAL ENGLISH FOR LAW (АНГЛИЙСКИЙ ЯЗЫК ДЛЯ ЮРИСТОВ)</t>
  </si>
  <si>
    <t>Сидоренко Т.В., Шагиева Н.М.</t>
  </si>
  <si>
    <t>978-5-16-014148-0</t>
  </si>
  <si>
    <t>40.02.02, 40.02.04</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</si>
  <si>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40.02.01 «Право и организация социального обеспечения», 40.02.02 «Правоохранительная деятельность», 40.02.03 «Право и судебное администрирование»</t>
  </si>
  <si>
    <t>Санкт-Петербургский университет Министерства внутренних дел России</t>
  </si>
  <si>
    <t>32</t>
  </si>
  <si>
    <t>430150.10.01</t>
  </si>
  <si>
    <t>Essential English for Law (англ. яз. для юристов): Уч.пос. / Т.В.Сидоренко-М.:НИЦ ИНФРА-М,2023.-282 с.(ВО)(П)</t>
  </si>
  <si>
    <t>978-5-16-005665-4</t>
  </si>
  <si>
    <t>40.03.01, 40.04.01, 40.05.01, 40.05.02, 40.05.03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</si>
  <si>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и направлениий 40.03.01 «Юриспруденция» (квалификация (степень) «бакалавр») (протокол № 12 от 24.06.2019)</t>
  </si>
  <si>
    <t>670262.04.01</t>
  </si>
  <si>
    <t>Homo nudes: Монография / Е.Ф.Казаков - М.:НИЦ ИНФРА-М,2022 - 242 с.-(Науч.мысль)(П)</t>
  </si>
  <si>
    <t>HOMO NUDES</t>
  </si>
  <si>
    <t>Казаков Е.Ф.</t>
  </si>
  <si>
    <t>978-5-16-013615-8</t>
  </si>
  <si>
    <t>40.04.01, 44.04.01, 47.04.01</t>
  </si>
  <si>
    <t>Кемеровский государственный университет</t>
  </si>
  <si>
    <t>165250.10.01</t>
  </si>
  <si>
    <t>Langue francaise: Techniques dexpression ecrite et orale. Уч.пос. / Ж.Багана-М.:НИЦ ИНФРА-М,2024.-127 с.(ВО)(о).</t>
  </si>
  <si>
    <t>LANGUE FRANCAISE: TECHNIQUES DEXPRESSION ECRITE ET ORALE</t>
  </si>
  <si>
    <t>Багана Ж., Хапилина Е. В., Трещева Н. В.</t>
  </si>
  <si>
    <t>978-5-16-017891-2</t>
  </si>
  <si>
    <t>00.03.02, 00.05.02</t>
  </si>
  <si>
    <t>712459.08.01</t>
  </si>
  <si>
    <t>Legal English: Англ. яз. для юристов: Уч./ Е.Б.Попов - М.:НИЦ ИНФРА-М,2024 - 314 с.(СПО)(П)</t>
  </si>
  <si>
    <t>LEGAL ENGLISH: АНГЛИЙСКИЙ ЯЗЫК ДЛЯ ЮРИСТОВ</t>
  </si>
  <si>
    <t>Попов Е.Б., Феоктистова Е.М., Халюшева Г.Р.</t>
  </si>
  <si>
    <t>978-5-16-015369-8</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</si>
  <si>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укрупненной группе специальностей 40.02.00 «Юриспруденция» (протокол № 6 от 25.03.2019)</t>
  </si>
  <si>
    <t>383500.09.01</t>
  </si>
  <si>
    <t>Legal English:Quick Overview: Англ.яз. Баз.курс / Е.Б.Попов - 2 изд. - НИЦ ИНФРА-М,2022 -314с(ВО)(П)</t>
  </si>
  <si>
    <t>LEGAL ENGLISH: QUICK OVERVIEW: АНГЛИЙСКИЙ ЯЗЫК В СФЕРЕ ЮРИСПРУДЕНЦИИ.БАЗОВЫЙ КУРС, ИЗД.2</t>
  </si>
  <si>
    <t>978-5-16-012304-2</t>
  </si>
  <si>
    <t>40.03.01, 40.04.01, 40.05.02, 40.05.03</t>
  </si>
  <si>
    <t>Рекомендовано УМО по юридическому образованию вузов Российской Федерации в качестве учебника для студентов образовательных организаций, обучающихся по направлению подготовки 40.03.01 «Юриспруденция» (квалификация (степень) «бакалавр»)</t>
  </si>
  <si>
    <t>110450.08.01</t>
  </si>
  <si>
    <t>Pocket English Grammar (Карман.грамматика англ. яз.): Справ.пос. / И.Е. Торбан-ИНФРА-М, 2024-97с.(о)</t>
  </si>
  <si>
    <t>POCKET ENGLISH GRAMMAR (КАРМАННАЯ ГРАММАТИКА АНГЛИЙСКОГО ЯЗЫКА)</t>
  </si>
  <si>
    <t>Торбан И. Е.</t>
  </si>
  <si>
    <t>Справочники ИНФРА-М</t>
  </si>
  <si>
    <t>978-5-16-018838-6</t>
  </si>
  <si>
    <t>Справочное пособие</t>
  </si>
  <si>
    <t>-</t>
  </si>
  <si>
    <t>0109</t>
  </si>
  <si>
    <t>689995.05.01</t>
  </si>
  <si>
    <t>Professional English: Уч. / Л.М.Фишман - М.:НИЦ ИНФРА-М,2022 - 120 с.-(ВО: Бакалавриат)(О)</t>
  </si>
  <si>
    <t>PROFESSIONAL ENGLISH</t>
  </si>
  <si>
    <t>Фишман Л. М.</t>
  </si>
  <si>
    <t>978-5-16-014339-2</t>
  </si>
  <si>
    <t>00.03.02, 00.05.02, 09.03.01, 09.03.02, 09.03.03, 09.03.04, 09.05.01, 10.03.01, 10.05.01, 10.05.02, 10.05.03, 10.05.04, 10.05.05, 10.05.07</t>
  </si>
  <si>
    <t>Рекомендовано Учебно-методическим советом ВО в качестве учебника для студентов высших учебных заведений, обучающихся по УГС 02.03.00 «Компьютерные и информационные науки», 09.03.00 «Информатика и вычислительная техника», 10.03.00 «Информационная безопасность»</t>
  </si>
  <si>
    <t>Санкт-Петербургский государственный политехнический университет Петра Великого</t>
  </si>
  <si>
    <t>23</t>
  </si>
  <si>
    <t>262800.12.01</t>
  </si>
  <si>
    <t>Professional English: Уч. / Л.М.Фишман - М.:НИЦ ИНФРА-М,2024- 120 с.(СПО)(О)</t>
  </si>
  <si>
    <t>Фишман Л.М.</t>
  </si>
  <si>
    <t>978-5-16-014340-8</t>
  </si>
  <si>
    <t>09.02.01, 09.02.02, 09.02.03, 09.02.04, 09.02.05, 09.02.06, 09.02.07, 10.02.01, 10.02.02, 10.02.03, 10.02.04, 10.02.05</t>
  </si>
  <si>
    <t>Допущено Региональным научно-методическим центром при Совете директоров ССУЗ Санкт-Петербурга и Ленинградской области в качестве учебника для студентов образовательных учреждений СПО по укрупненным группам специальностей ФГОС СПО 09.00.00 «Информатика и вычислительная техника», 10.00.00 «Информационная безопасность»</t>
  </si>
  <si>
    <t>0114</t>
  </si>
  <si>
    <t>770331.01.01</t>
  </si>
  <si>
    <t>Topical issues of English grammar...: Уч.пос. / Ю.Г.Романова-М.:НИЦ ИНФРА-М,2023.-119 с-(ВО)(о)</t>
  </si>
  <si>
    <t>TOPICAL ISSUES OF ENGLISH GRAMMAR: FORMS EXPRESSING UNREALITY IN MODERN ENGLISH</t>
  </si>
  <si>
    <t>Романова Ю.Г., Коробейникова О.В.</t>
  </si>
  <si>
    <t>978-5-16-017524-9</t>
  </si>
  <si>
    <t>45.03.02, 45.05.01</t>
  </si>
  <si>
    <t>Российская академия народного хозяйства и государственной службы при Президенте РФ</t>
  </si>
  <si>
    <t>Сентябрь, 2023</t>
  </si>
  <si>
    <t>093000.12.01</t>
  </si>
  <si>
    <t>Wirtschaftsdeutsch (Деловой нем. яз.):Уч./ Н.Г.Чернышева -2 изд.-М.:ФОРУМ:НИЦ ИНФРА-М,2024-360с. (п)</t>
  </si>
  <si>
    <t>WIRTSCHAFTSDEUTSCH: MARKT, UNTERNEHMERSCHAFT, HANDEL = ДЕЛОВОЙ НЕМЕЦКИЙ ЯЗЫК: РЫНОК, ПРЕДПРИНИМАТЕЛЬСТВО, ТОРГОВЛЯ, ИЗД.2</t>
  </si>
  <si>
    <t>Чернышева Н.Г., Лыгина Н.И., Музалевская Р.С.</t>
  </si>
  <si>
    <t>978-5-91134-766-6</t>
  </si>
  <si>
    <t>38.03.01, 38.03.02, 38.03.03, 38.03.04, 38.03.05, 38.03.06, 38.03.07</t>
  </si>
  <si>
    <t>Допущено УМО по образованию в области экономики и экономической теории в качестве учебника для студентов, обучающихся по направлению  "Экономика" и экономическим специальностям</t>
  </si>
  <si>
    <t>0213</t>
  </si>
  <si>
    <t>682806.03.01</t>
  </si>
  <si>
    <t>Wirtschaftsdeutsch: Markt...: Уч. / Н.Г.Чернышева - 2изд.-М.:Форум: Инфра-М,2023-359 с -(СПО)(П)</t>
  </si>
  <si>
    <t>978-5-00091-534-9</t>
  </si>
  <si>
    <t>08.02.14, 38.01.01, 38.01.02, 38.01.03, 38.02.01, 38.02.02, 38.02.03, 38.02.06, 38.02.07, 38.02.08</t>
  </si>
  <si>
    <t>Рекомендовано Учебно-методическим советом СПО в качестве учебника для студентов учебных заведений, реализующих программу среднего профессионального образования по специальностям 38.02.01 «Экономика и бухгалтерский учет (по отраслям)», 38.02.02 «Страховое дело (по отраслям)», 38.02.03 «Операционная деятельность в логистике», 38.02.04 «Коммерция (по отраслям)», 38.02.05 «Товароведение и экспертиза качества потребительских товаров», 38.02.06 «Финансы», 38.02.07 «Банковское дело»</t>
  </si>
  <si>
    <t>0218</t>
  </si>
  <si>
    <t>445250.05.01</t>
  </si>
  <si>
    <t>XXI век. Россия. Расписание на сегодня/Ю.А.Ковалев-2изд-М.:ИЦ РИОР,НИЦ ИНФРА-М,2018-135с(Науч.мысль)</t>
  </si>
  <si>
    <t>XXI ВЕК. РОССИЯ. РАСПИСАНИЕ НА СЕГОДНЯ, ИЗД.2</t>
  </si>
  <si>
    <t>Ковалев Ю.А.</t>
  </si>
  <si>
    <t>ИЦ РИОР</t>
  </si>
  <si>
    <t>978-5-369-01447-9</t>
  </si>
  <si>
    <t>41.04.04, 41.06.01, 46.04.01, 46.06.01</t>
  </si>
  <si>
    <t>Институт нефтехимического синтеза им. А.В. Топчиева Российской академии наук</t>
  </si>
  <si>
    <t>668717.04.01</t>
  </si>
  <si>
    <t>Аграрные программы росс. полит. партий в нач. ХХ в.: Моногр. / С.А.Сафронов - М.:НИЦ ИНФРА-М, СФУ,2022.-252 с.(О)</t>
  </si>
  <si>
    <t>АГРАРНЫЕ ПРОГРАММЫ РОССИЙСКИХ ПОЛИТИЧЕСКИХ ПАРТИЙ В НАЧАЛЕ ХХ В.</t>
  </si>
  <si>
    <t>Сафронов С.А.</t>
  </si>
  <si>
    <t>Научная мысль (СФУ)</t>
  </si>
  <si>
    <t>978-5-16-017225-5</t>
  </si>
  <si>
    <t>Сибирский федеральный университет</t>
  </si>
  <si>
    <t>279500.03.01</t>
  </si>
  <si>
    <t>Адаптация персонала  в российских организациях..: Моногр. /А.Н.Прошина-М.: НИЦ ИНФРА-М,2017-124с.(о)</t>
  </si>
  <si>
    <t>АДАПТАЦИЯ ПЕРСОНАЛА В РОССИЙСКИХ ОРГАНИЗАЦИЯХ:СОЦИАЛЬНО-УПРАВЛЕНЧЕСКИЙ АНАЛИЗ(НА ПРИМЕРЕ РАБОТНИКОВ С ОГРАНИЧЕННЫМИ ВОЗМОЖНОСТЯМИ)</t>
  </si>
  <si>
    <t>Прошина А.Н.</t>
  </si>
  <si>
    <t>978-5-16-009821-0</t>
  </si>
  <si>
    <t>38.03.01, 38.03.03, 38.04.03, 41.03.06, 44.03.01</t>
  </si>
  <si>
    <t>682815.06.01</t>
  </si>
  <si>
    <t>Аддиктология. Теоретические и эксперимент...: Уч.пос. / Е.И.Николаева-М.:ИНФРА-М,2024-209 с.(СПО)(п)</t>
  </si>
  <si>
    <t>АДДИКТОЛОГИЯ. ТЕОРЕТИЧЕСКИЕ И ЭКСПЕРИМЕНТАЛЬНЫЕ ИССЛЕДОВАНИЯ ФОРМИРОВАНИЯ АДДИКЦИИ</t>
  </si>
  <si>
    <t>Николаева Е.И., Каменская В.Г.</t>
  </si>
  <si>
    <t>978-5-16-017022-0</t>
  </si>
  <si>
    <t>40.02.02, 44.02.02, 44.02.04, 44.02.05</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</si>
  <si>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44.02.01 «Дошкольное образование», 44.02.02 «Преподавание в начальных классах», 44.02.03 «Педагогика дополнительного образования», 44.02.04 «Специальное дошкольное образование», 44.02.05 «Коррекционная педагогика в начальном образовании»</t>
  </si>
  <si>
    <t>Российский государственный педагогический университет им. А.И. Герцена</t>
  </si>
  <si>
    <t>151400.10.01</t>
  </si>
  <si>
    <t>Аддиктология. Теоретические и экспериментальные... / Е.И.Николаева - М.: Форум, 2023-208с. (о)</t>
  </si>
  <si>
    <t>Николаева Е. И., Каменская В. Г.</t>
  </si>
  <si>
    <t>978-5-91134-508-2</t>
  </si>
  <si>
    <t>37.03.01, 39.03.02, 44.03.02, 44.05.01</t>
  </si>
  <si>
    <t>Допущено Учебно-методическим объединением по направлениям педагогического образования в качестве учебника для студентов высших учебных заведений, обучающихся по направлению 050700 "Педагогика"</t>
  </si>
  <si>
    <t>421950.06.01</t>
  </si>
  <si>
    <t>Азбука психологии: Уч.пос.для студентов-иностр. /З.В.Бойко и др. -М.: Форум, НИЦ ИНФРА-М, 2023. -192 с.(О)</t>
  </si>
  <si>
    <t>АЗБУКА ПСИХОЛОГИИ</t>
  </si>
  <si>
    <t>Бойко З.В., Полянская Е.Н., Полянская В.И.</t>
  </si>
  <si>
    <t>978-5-91134-727-7</t>
  </si>
  <si>
    <t>37.03.01, 37.03.02, 37.05.02, 44.03.02</t>
  </si>
  <si>
    <t>Допущено УМО по классическому университетскому образованию в качестве учебного пособия для студентов высших учебных заведений, обучающихся по направлению подготовки ФГОС ВПО ОЗОЗОО "Психология"</t>
  </si>
  <si>
    <t>Российский университет дружбы народов имени Патриса Лумумбы</t>
  </si>
  <si>
    <t>449900.01.01</t>
  </si>
  <si>
    <t>Аксиологические основ. теор. связей с общ.: Моногр. /Е.А.Осипова -М.: НИЦ ИНФРА-М, 2016 -228с (Науч.мысль)(п)</t>
  </si>
  <si>
    <t>АКСИОЛОГИЧЕСКИЕ ОСНОВАНИЯ ТЕОРИИ СВЯЗЕЙ С ОБЩЕСТВЕННОСТЬЮ</t>
  </si>
  <si>
    <t>Осипова Е.А.</t>
  </si>
  <si>
    <t>Переплет</t>
  </si>
  <si>
    <t>978-5-16-011432-3</t>
  </si>
  <si>
    <t>41.03.06, 42.03.01, 42.03.02, 42.03.04, 42.03.05, 42.04.01, 42.04.02, 42.04.04, 42.04.05</t>
  </si>
  <si>
    <t>Российский экономический университет им. Г.В. Плеханова</t>
  </si>
  <si>
    <t>0116</t>
  </si>
  <si>
    <t>774768.04.01</t>
  </si>
  <si>
    <t>Актуальные пробл. развития сов. ист. науки...: Моногр. / А.Е.Смирницкий-М.:НИЦ ИНФРА-М,2023.-157 с.(О)</t>
  </si>
  <si>
    <t>АКТУАЛЬНЫЕ ПРОБЛЕМЫ РАЗВИТИЯ СОВЕТСКОЙ ИСТОРИЧЕСКОЙ НАУКИ (1917-1991)</t>
  </si>
  <si>
    <t>Смирницкий А.Е.</t>
  </si>
  <si>
    <t>978-5-16-017606-2</t>
  </si>
  <si>
    <t>44.04.01, 46.04.01, 46.04.02, 46.06.01</t>
  </si>
  <si>
    <t>Нижегородский государственный педагогический университет им. К. Минина</t>
  </si>
  <si>
    <t>0199</t>
  </si>
  <si>
    <t>358100.12.01</t>
  </si>
  <si>
    <t>Актуальные термины полит. лингвистики: Справ. / М.А.Семкин - М.:Форум,НИЦ ИНФРА-М,2023-112 с.(О)</t>
  </si>
  <si>
    <t>АКТУАЛЬНЫЕ ТЕРМИНЫ ПОЛИТИЧЕСКОЙ ЛИНГВИСТИКИ: СЛОВАРЬ СОВРЕМЕННЫХ МЕДИА</t>
  </si>
  <si>
    <t>Семкин М.А.</t>
  </si>
  <si>
    <t>978-5-00091-630-8</t>
  </si>
  <si>
    <t>Словарь</t>
  </si>
  <si>
    <t>41.03.04, 41.04.04, 42.03.01, 42.03.02, 42.03.03, 42.03.04, 42.03.05, 42.04.01, 42.04.02, 42.04.03, 42.04.04, 42.04.05, 45.03.01, 45.04.01</t>
  </si>
  <si>
    <t>Современный технический институт</t>
  </si>
  <si>
    <t>0115</t>
  </si>
  <si>
    <t>668774.03.01</t>
  </si>
  <si>
    <t>Алтайская лит. Портреты писателей...: Моногр. / Н.М.Киндикова - М.:НИЦ ИНФРА-М,2022-82с(Науч.мысль)(О)</t>
  </si>
  <si>
    <t>АЛТАЙСКАЯ ЛИТЕРАТУРА. ПОРТРЕТЫ ПИСАТЕЛЕЙ И ЛИТЕРАТУРОВЕДОВ.</t>
  </si>
  <si>
    <t>Киндикова Н.М.</t>
  </si>
  <si>
    <t>978-5-16-013387-4</t>
  </si>
  <si>
    <t>41.03.06, 42.03.02, 42.03.03, 42.03.04, 45.03.01</t>
  </si>
  <si>
    <t>Горно-Алтайский государственный университет</t>
  </si>
  <si>
    <t>759045.01.01</t>
  </si>
  <si>
    <t>Алтарные преграды храмов Центр. Рос...: Моногр. / Т.В.Лазарева-М.:НИЦ ИНФРА-М,2023.-244 с.(П)</t>
  </si>
  <si>
    <t>АЛТАРНЫЕ ПРЕГРАДЫ ХРАМОВ ЦЕНТРАЛЬНОЙ РОССИИ НОВОГО ВРЕМЕНИ (НА ПРИМЕРЕ ПРИОКСКОГО РЕГИОНА)</t>
  </si>
  <si>
    <t>Лазарева Т.В.</t>
  </si>
  <si>
    <t>978-5-16-018008-3</t>
  </si>
  <si>
    <t>Искусство</t>
  </si>
  <si>
    <t>07.04.01, 07.04.02, 07.06.01, 07.09.02</t>
  </si>
  <si>
    <t>Орловский государственный институт культуры</t>
  </si>
  <si>
    <t>758089.01.01</t>
  </si>
  <si>
    <t>Альтернативы: Моногр. / С.В.Борзых - М.:НИЦ ИНФРА-М,2021 - 370 с.(Науч.мысль)(О)</t>
  </si>
  <si>
    <t>АЛЬТЕРНАТИВЫ</t>
  </si>
  <si>
    <t>Борзых С.В.</t>
  </si>
  <si>
    <t>978-5-16-017003-9</t>
  </si>
  <si>
    <t>Томский государственный архитектурно-строительный университет</t>
  </si>
  <si>
    <t>632070.05.01</t>
  </si>
  <si>
    <t>Америка Синклера Льюиса: Монография / Б.А.Гиленсон, - 2 изд.-М.:НИЦ ИНФРА-М,2022-188с(Науч.мысль)(П)</t>
  </si>
  <si>
    <t>АМЕРИКА СИНКЛЕРА ЛЬЮИСА, ИЗД.2</t>
  </si>
  <si>
    <t>Гиленсон Б.А.</t>
  </si>
  <si>
    <t>978-5-16-012024-9</t>
  </si>
  <si>
    <t>41.03.06, 42.03.02, 42.03.03, 42.03.04, 45.03.01, 45.04.01</t>
  </si>
  <si>
    <t>Московский городской педагогический университет</t>
  </si>
  <si>
    <t>688039.03.01</t>
  </si>
  <si>
    <t>Американская доктрина о превентивном ударе от Монро... / И.З.Фархутдинов - М.:НИЦ ИНФРА-М,2021-419 с.(П)</t>
  </si>
  <si>
    <t>АМЕРИКАНСКАЯ ДОКТРИНА О ПРЕВЕНТИВНОМ УДАРЕ ОТ МОНРО ДО ТРАМПА: МЕЖДУНАРОДНО-ПРАВОВЫЕ АСПЕКТЫ</t>
  </si>
  <si>
    <t>Фархутдинов И.З.</t>
  </si>
  <si>
    <t>978-5-16-014300-2</t>
  </si>
  <si>
    <t>41.04.04, 41.04.05, 41.06.01</t>
  </si>
  <si>
    <t>Институт государства и права Российской академии наук</t>
  </si>
  <si>
    <t>434400.03.01</t>
  </si>
  <si>
    <t>Анализ разв. отечеств. соц. мысли в работе Ю.Геккера: Моногр./К.К.Оганян-М.:НИЦ ИНФРА-М,2020-212с(о)</t>
  </si>
  <si>
    <t>АНАЛИЗ РАЗВИТИЯ ОТЕЧЕСТВЕННОЙ СОЦИАЛЬНОЙ МЫСЛИ В РАБОТЕ Ю. ГЕККЕРА «РУССКАЯ СОЦИОЛОГИЯ. ВКЛАД В ИСТОРИЮ СОЦИОЛОГИЧЕСКОЙ МЫСЛИ И ТЕОРИИ»</t>
  </si>
  <si>
    <t>Оганян К.К.</t>
  </si>
  <si>
    <t>978-5-16-011312-8</t>
  </si>
  <si>
    <t>37.03.01, 38.03.02, 38.03.03, 38.03.04, 39.03.01, 39.03.02, 39.04.01, 41.03.06, 42.03.01, 44.03.01, 44.03.05, 45.03.04</t>
  </si>
  <si>
    <t>Национальный государственный Университет физической культуры, спорта и здоровья им. П.Ф. Лесгафта</t>
  </si>
  <si>
    <t>322100.05.01</t>
  </si>
  <si>
    <t>Анализ теории личности в российской социологии: история..: Моногр./К.К.Оганян - М:ИНФРА-М,2019-360с.</t>
  </si>
  <si>
    <t>АНАЛИЗ ТЕОРИИ ЛИЧНОСТИ В РОССИЙСКОЙ СОЦИОЛОГИИ: ИСТОРИЯ И СОВРЕМЕННОСТЬ</t>
  </si>
  <si>
    <t>978-5-16-010479-9</t>
  </si>
  <si>
    <t>39.03.01, 39.04.01, 44.03.01, 44.03.05</t>
  </si>
  <si>
    <t>275900.05.01</t>
  </si>
  <si>
    <t>Аналитика человеческого бытия: введение в опыт...:Моногр. /С.Е.Ячин -НИЦ ИНФРА-М, 2019-210с.(О)</t>
  </si>
  <si>
    <t>АНАЛИТИКА ЧЕЛОВЕЧЕСКОГО БЫТИЯ: ВВЕДЕНИЕ В ОПЫТ САМОПОЗНАНИЯ. СИСТЕМАТИЧЕСКИЙ ОЧЕРК</t>
  </si>
  <si>
    <t>Ячин С.Е.</t>
  </si>
  <si>
    <t>978-5-16-009719-0</t>
  </si>
  <si>
    <t>Дальневосточный федеральный университет</t>
  </si>
  <si>
    <t>785363.02.01</t>
  </si>
  <si>
    <t>Аналитико-синтетическая переработка информ.: теор. основы..: Уч.пос. / О.Л.Лаврик-М.:НИЦ ИНФРА-М,2024-210 с.(ВО)(п)</t>
  </si>
  <si>
    <t>АНАЛИТИКО-СИНТЕТИЧЕСКАЯ ПЕРЕРАБОТКА ИНФОРМАЦИИ: ТЕОРЕТИЧЕСКИЕ ОСНОВЫ, АННОТИРОВАНИЕ, РЕФЕРИРОВАНИЕ, КОНСПЕКТИРОВАНИЕ И ПОДГОТОВКА ДАЙДЖЕСТОВ И ОБЗОРОВ</t>
  </si>
  <si>
    <t>Лаврик О.Л.</t>
  </si>
  <si>
    <t>978-5-16-017864-6</t>
  </si>
  <si>
    <t>51.03.06</t>
  </si>
  <si>
    <t>Новосибирский государственный педагогический университет</t>
  </si>
  <si>
    <t>656383.05.01</t>
  </si>
  <si>
    <t>Английская номинативность и картина мира: Моногр. / А.А.Джиоева-М:НИЦ ИНФРА-М,2024-176с(Науч.мысль)</t>
  </si>
  <si>
    <t>АНГЛИЙСКАЯ НОМИНАТИВНОСТЬ И КАРТИНА МИРА</t>
  </si>
  <si>
    <t>Джиоева А.А.</t>
  </si>
  <si>
    <t>978-5-16-017031-2</t>
  </si>
  <si>
    <t>40.03.01, 44.03.01, 44.03.05, 45.03.01, 45.03.02, 45.03.03, 45.03.04</t>
  </si>
  <si>
    <t>Московский государственный университет им. М.В. Ломоносова, факультет политологии</t>
  </si>
  <si>
    <t>260400.13.01</t>
  </si>
  <si>
    <t>Английские заимствования в рус. и нем. языках в усл...: Моногр. / Ж.Багана - М.:НИЦ ИНФРА-М,2024 - 120 с(О)</t>
  </si>
  <si>
    <t>АНГЛИЙСКИЕ ЗАИМСТВОВАНИЯ В РУССКОМ И НЕМЕЦКОМ ЯЗЫКАХ В УСЛОВИЯХ ГЛОБАЛИЗАЦИИ</t>
  </si>
  <si>
    <t>Багана Ж., Тарасова М. В.</t>
  </si>
  <si>
    <t>978-5-16-009504-2</t>
  </si>
  <si>
    <t>45.03.01, 45.03.02, 45.04.01, 45.04.02, 51.03.01, 51.04.01</t>
  </si>
  <si>
    <t>241900.05.01</t>
  </si>
  <si>
    <t>Английские заимствования в террит. вариантах фр.яз.: Моногр. /Ж.Багана -НИЦ ИНФРА-М,2024-106(Науч.мысль)</t>
  </si>
  <si>
    <t>АНГЛИЙСКИЕ ЗАИМСТВОВАНИЯ В ТЕРРИТОРИАЛЬНЫХ ВАРИАНТАХ ФРАНЦУЗСКОГО ЯЗЫКА АФРИКИ</t>
  </si>
  <si>
    <t>Багана Ж., Хапилина Е.В., Блажевич Ю.С.</t>
  </si>
  <si>
    <t>978-5-16-009255-3</t>
  </si>
  <si>
    <t>45.03.01, 45.04.01</t>
  </si>
  <si>
    <t>790399.01.01</t>
  </si>
  <si>
    <t>Английский  яз. для банковского дела: Уч. / О.Н.Анюшенкова-М.:НИЦ ИНФРА-М,2023.-379 с.(СПО)(П)</t>
  </si>
  <si>
    <t>АНГЛИЙСКИЙ  ЯЗЫК ДЛЯ БАНКОВСКОГО ДЕЛА (ENGLISH FOR BANKING)</t>
  </si>
  <si>
    <t>978-5-16-018037-3</t>
  </si>
  <si>
    <t>38.02.07</t>
  </si>
  <si>
    <t>465250.09.01</t>
  </si>
  <si>
    <t>Английский в индустрии моды: Уч.пос. / Е.В.Казакова - М.:Вуз. уч.,НИЦ ИНФРА-М,2024 - 224 с.(ВО)(п)</t>
  </si>
  <si>
    <t>АНГЛИЙСКИЙ В ИНДУСТРИИ МОДЫ</t>
  </si>
  <si>
    <t>Казакова Е.В., Дружкова С.Г., Юрасова Н.К.</t>
  </si>
  <si>
    <t>Вузовский учебник</t>
  </si>
  <si>
    <t>978-5-9558-0366-1</t>
  </si>
  <si>
    <t>29.03.01, 29.03.05, 45.03.02, 54.03.01, 54.03.03</t>
  </si>
  <si>
    <t>Допущено к изданию с грифом УМО вузов России по образованию в области технологии, конструирования изделий легкой промышленности в качестве учебного пособия по иностранному языку для бакалавров и магистров высших учебных заведений, обучающихся по направлениям подготовки «Технология изделий легкой промышленности» и «Конструирование изделий легкой промышленности»</t>
  </si>
  <si>
    <t>Российский государственный университет им. А.Н. Косыгина</t>
  </si>
  <si>
    <t>682822.06.01</t>
  </si>
  <si>
    <t>Английский в индустрии моды: Уч.пос. / Е.В.Казакова - М.:Вуз.уч.,НИЦ ИНФРА-М,2024 - 224 с.(СПО)(П)</t>
  </si>
  <si>
    <t>978-5-9558-0616-7</t>
  </si>
  <si>
    <t>29.02.10</t>
  </si>
  <si>
    <t>Рекомендовано 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29.02.01«Конструирование, моделирование и технология изделий из кожи», 29.02.03 «Конструирование, моделирование и технология изделий из меха», 29.02.04 «Конструирование, моделирование и технология швейных изделий»</t>
  </si>
  <si>
    <t>431870.12.01</t>
  </si>
  <si>
    <t>Английский для аспирантов: Уч.пос. / Е.И.Белякова - 2 изд. - М.:Вуз. уч.,НИЦ ИНФРА-М,2024 - 188 с.(П)</t>
  </si>
  <si>
    <t>АНГЛИЙСКИЙ ДЛЯ АСПИРАНТОВ, ИЗД.2</t>
  </si>
  <si>
    <t>Белякова Е. И.</t>
  </si>
  <si>
    <t>978-5-9558-0306-7</t>
  </si>
  <si>
    <t>Профессиональное образование / ВО - Кадры высшей квалификации / Аспирантура</t>
  </si>
  <si>
    <t>37.06.01, 38.06.01, 40.03.01, 44.03.01, 44.03.05, 44.06.01</t>
  </si>
  <si>
    <t>Череповецкий государственный университет</t>
  </si>
  <si>
    <t>704992.07.01</t>
  </si>
  <si>
    <t>Английский для деревообр., плотников и столяров: Уч./Е.А.Агеева - М.:ИЦ РИОР, НИЦ ИНФРА-М,2024 - 132 с(П)</t>
  </si>
  <si>
    <t>АНГЛИЙСКИЙ ДЛЯ ДЕРЕВООБРАБОТЧИКОВ,ПЛОТНИКОВ И СТОЛЯРОВ</t>
  </si>
  <si>
    <t>Агеева Е.А.</t>
  </si>
  <si>
    <t>СПО</t>
  </si>
  <si>
    <t>978-5-369-01821-7</t>
  </si>
  <si>
    <t>08.01.04, 08.01.05, 08.01.08, 08.01.24, 08.02.01, 35.01.01, 35.01.05, 35.01.06, 35.01.07, 35.01.08, 35.01.25</t>
  </si>
  <si>
    <t>Московский индустриальный колледж</t>
  </si>
  <si>
    <t>818467.01.01</t>
  </si>
  <si>
    <t>Английский для матем. = English for Mathem.: Уч.пос. / Т.Н.Свиридова-М.:НИЦ ИНФРА-М, СФУ,2024-184с(ВО)(п)</t>
  </si>
  <si>
    <t>АНГЛИЙСКИЙ ДЛЯ МАТЕМАТИКОВ (ENGLISH FOR MATHEMATICIANS)</t>
  </si>
  <si>
    <t>Свиридова Т.Н., Шелепова М.Г.</t>
  </si>
  <si>
    <t>Высшее образование (СФУ)</t>
  </si>
  <si>
    <t>978-5-16-019515-5</t>
  </si>
  <si>
    <t>01.03.01, 01.03.02, 02.03.01</t>
  </si>
  <si>
    <t>Март, 2024</t>
  </si>
  <si>
    <t>684901.07.01</t>
  </si>
  <si>
    <t>Английский яз. в ситуациях повседнев.дел.общ.: Уч.пос./З.В.Маньковская-М.:НИЦ ИНФРА-М,2024-223с(СПО)</t>
  </si>
  <si>
    <t>АНГЛИЙСКИЙ ЯЗЫК В СИТУАЦИЯХ ПОВСЕДНЕВНОГО ДЕЛОВОГО ОБЩЕНИЯ</t>
  </si>
  <si>
    <t>Маньковская З.В.</t>
  </si>
  <si>
    <t>978-5-16-014149-7</t>
  </si>
  <si>
    <t>38.02.01, 38.02.03, 38.02.06, 38.02.07, 38.02.08, 46.02.01</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</si>
  <si>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УГС 38.02.00 «Экономика и управление»</t>
  </si>
  <si>
    <t>Московский государственный технический университет им. Н.Э. Баумана, Мытищинский ф-л</t>
  </si>
  <si>
    <t>808641.01.01</t>
  </si>
  <si>
    <t>Английский яз. для автомобильной индустрии: Уч. / О.Н.Анюшенкова-М.:НИЦ ИНФРА-М,2024.-460 с.(п)</t>
  </si>
  <si>
    <t>АНГЛИЙСКИЙ ЯЗЫК ДЛЯ АВТОМОБИЛЬНОЙ ИНДУСТРИИ = ENGLISH FOR THE AUTO INDUSTRY</t>
  </si>
  <si>
    <t>978-5-16-018903-1</t>
  </si>
  <si>
    <t>23.01.17, 23.02.01, 23.02.02, 23.02.03, 23.02.04, 23.02.05</t>
  </si>
  <si>
    <t>Ноябрь, 2023</t>
  </si>
  <si>
    <t>154050.08.01</t>
  </si>
  <si>
    <t>Английский яз. для для спец. в области упр. качеством...: Уч.пос. / Б.Герасимов-М.:Форум,2024-160с(о)</t>
  </si>
  <si>
    <t>ENGLISH FOR QUALITY MANAGEMENT AND STANDARDIZATION = АНГЛИЙСКИЙ ЯЗЫК ДЛЯ СТУДЕНТОВ В ОБЛАСТИ УПРАВЛЕНИЯ КАЧЕСТВОМ И СТАНДАРТИЗАЦИИ</t>
  </si>
  <si>
    <t>Герасимов Б. И., Гливенкова О. А., Гунина Н. А., Никульшина Н. Л.</t>
  </si>
  <si>
    <t>978-5-00091-636-0</t>
  </si>
  <si>
    <t>27.03.01, 27.03.02, 27.03.03, 27.03.04, 27.03.05</t>
  </si>
  <si>
    <t>300300.04.01</t>
  </si>
  <si>
    <t>Английский яз. для индустрии гостеприимства: Уч.пос. / К.В.Ишимцева - Альфа-М,НИЦ ИНФРА-М,2017-192с</t>
  </si>
  <si>
    <t>АНГЛИЙСКИЙ ЯЗЫК ДЛЯ ИНДУСТРИИ ГОСТЕПРИИМСТВА</t>
  </si>
  <si>
    <t>Ишимцева К. В., Мотинова Е. Н., Темякова В. В.</t>
  </si>
  <si>
    <t>Альфа-М</t>
  </si>
  <si>
    <t>ПРОФИль</t>
  </si>
  <si>
    <t>978-5-98281-409-8</t>
  </si>
  <si>
    <t>43.02.11, 43.02.16</t>
  </si>
  <si>
    <t>Рекомендовано федеральным государственным автономным учреждением «Федеральный институт развития образования» (ФГАУ «ФИРО») в качестве учебного пособия для использования в учебном процессе образовательных учреждений, реализующих программу СПО</t>
  </si>
  <si>
    <t>Колледж Московского гуманитарного университета</t>
  </si>
  <si>
    <t>300300.12.01</t>
  </si>
  <si>
    <t>Английский яз. для индустрии гостеприимства: Уч.пос. /К.В.Кабанова - 2 изд.-М.:ИНФРА-М,2023-190c(СПО)</t>
  </si>
  <si>
    <t>АНГЛИЙСКИЙ ЯЗЫК ДЛЯ ИНДУСТРИИ ГОСТЕПРИИМСТВА, ИЗД.2</t>
  </si>
  <si>
    <t>Кабанова К.В., Мотинова Е.Н., Темякова В.В.</t>
  </si>
  <si>
    <t>978-5-16-013648-6</t>
  </si>
  <si>
    <t>787445.01.01</t>
  </si>
  <si>
    <t>Английский яз. для телекоммуникационных технологий: Уч. / О.Н.Анюшенкова-М.:НИЦ ИНФРА-М,2024.-283 с.(п)</t>
  </si>
  <si>
    <t>АНГЛИЙСКИЙ ЯЗЫК ДЛЯ ТЕЛЕКОММУНИКАЦИОННЫХ ТЕХНОЛОГИЙ = ENGLISH FOR TELECOMMUNICATION TECHNOLOGIES</t>
  </si>
  <si>
    <t>978-5-16-018065-6</t>
  </si>
  <si>
    <t>786374.01.01</t>
  </si>
  <si>
    <t>Английский яз. Менеджмент (English for Management): Уч.пос./ О.Н.Анюшенкова-М.:НИЦ ИНФРА-М,2024-426с.(ВО)(п)</t>
  </si>
  <si>
    <t>АНГЛИЙСКИЙ ЯЗЫК. МЕНЕДЖМЕНТ (ENGLISH FOR MANAGEMENT)</t>
  </si>
  <si>
    <t>Высшее образование (Финансовый университет-105 лет)</t>
  </si>
  <si>
    <t>978-5-16-017899-8</t>
  </si>
  <si>
    <t>00.03.02, 38.03.02</t>
  </si>
  <si>
    <t>686785.08.01</t>
  </si>
  <si>
    <t>Английский яз. Стилистика. The Power of Stylistics: Уч.пос. / Г.И.Лушникова-М.:НИЦ ИНФРА-М,2024-189 с.(ВО)(п)</t>
  </si>
  <si>
    <t>АНГЛИЙСКИЙ ЯЗЫК. СТИЛИСТИКА. THE POWER OF STYLISTICS</t>
  </si>
  <si>
    <t>Лушникова Г.И., Осадчая Т.Ю.</t>
  </si>
  <si>
    <t>Высшее образование (КрымФУ)</t>
  </si>
  <si>
    <t>978-5-16-019317-5</t>
  </si>
  <si>
    <t>44.03.01, 45.03.01, 45.03.02, 45.03.03, 45.03.04, 45.04.01, 45.04.02, 45.04.03, 45.04.04, 45.05.01</t>
  </si>
  <si>
    <t>Рекомендовано Учебно-методическим советом ВО в качестве учебного пособия для студентов высших учебных заведений, обучающихся по направлениям подготовки 44.03.01 «Педагогическое образование», 45.03.01 «Филология» (квалификация (степень) «бакалавр»)</t>
  </si>
  <si>
    <t>Крымский федеральный университет им. В.И. Вернадского</t>
  </si>
  <si>
    <t>765144.03.01</t>
  </si>
  <si>
    <t>Английский яз.: гостиничное дело и обществ. питание: Уч. / О.Н.Анюшенкова - М.:НИЦ ИНФРА-М,2024 - 358 с.(П)</t>
  </si>
  <si>
    <t>АНГЛИЙСКИЙ ЯЗЫК: ГОСТИНИЧНОЕ ДЕЛО И ОБЩЕСТВЕННОЕ ПИТАНИЕ</t>
  </si>
  <si>
    <t>978-5-16-017241-5</t>
  </si>
  <si>
    <t>43.02.01, 43.02.16</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</si>
  <si>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специальностям 43.02.14 «Гостиничное дело», 43.02.01 «Организация обслуживания в общественном питании», 43.02.11 «Гостиничный сервис» (протокол № 10 от 15.12.2021)</t>
  </si>
  <si>
    <t>467400.07.01</t>
  </si>
  <si>
    <t>Английский яз.для раб.в туризме..: Уч. / А.П.Миньяр-Белоручева - 2 изд.-М.:Форум, НИЦ ИНФРА-М,2024-192 с.(О)</t>
  </si>
  <si>
    <t>АНГЛИЙСКИЙ ЯЗЫК ДЛЯ РАБОТЫ В ТУРИЗМЕ = WORKING IN TOURISM, ИЗД.2</t>
  </si>
  <si>
    <t>Миньяр-Белоручева А.П., Покровская М.Е.</t>
  </si>
  <si>
    <t>978-5-00091-529-5</t>
  </si>
  <si>
    <t>43.03.02</t>
  </si>
  <si>
    <t>Допущено Учебно-методическим объединением по классическому университетскому образованию в качестве учебника по английскому языку для студентов высших учебных заведений, обучающихся по направлению подготовки 46.03.01 «История»</t>
  </si>
  <si>
    <t>Московский государственный университет им. М.В. Ломоносова, исторический факультет</t>
  </si>
  <si>
    <t>682801.04.01</t>
  </si>
  <si>
    <t>Английский яз.для студ., изуч. турист.бизнес: Уч.пос. / А.П.Миньяр-Белоручева-М.:Форум,НИЦ ИНФРА-М,2023-302-(СПО)(П)</t>
  </si>
  <si>
    <t>ENGLISH FOR STUDENTS IN TOURISM MANAGEMENT. АНГЛИЙСКИЙ ЯЗЫК ДЛЯ СТУДЕНТОВ, ИЗУЧАЮЩИХ ТУРИСТИЧЕСКИЙ БИЗНЕС</t>
  </si>
  <si>
    <t>978-5-00091-533-2</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</si>
  <si>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43.02.10 «Туризм», 43.02.11 «Гостиничный сервис»</t>
  </si>
  <si>
    <t>807968.01.01</t>
  </si>
  <si>
    <t>Английский язык в  машиностроении: Уч. / О.Н.Анюшенкова-М.:НИЦ ИНФРА-М,2023.-340 с..-(СПО (ФинУн))(п)</t>
  </si>
  <si>
    <t>АНГЛИЙСКИЙ ЯЗЫК В  МАШИНОСТРОЕНИИ (ENGLISH FOR MECHANICAL ENGINEERING)</t>
  </si>
  <si>
    <t>978-5-16-018813-3</t>
  </si>
  <si>
    <t>08.02.13, 15.02.01, 15.02.03, 15.02.04, 15.02.06, 15.02.07, 15.02.09, 15.02.10, 15.02.16, 15.02.17, 15.02.18</t>
  </si>
  <si>
    <t>Январь, 2024</t>
  </si>
  <si>
    <t>265500.05.01</t>
  </si>
  <si>
    <t>Английский язык в менеджменте: Уч.пос. / Н.М. Дюканова - М.: НИЦ ИНФРА-М, 2024. - 256 с.(ВО) (п)</t>
  </si>
  <si>
    <t>АНГЛИЙСКИЙ ЯЗЫК В МЕНЕДЖМЕНТЕ</t>
  </si>
  <si>
    <t>Дюканова Н.М.</t>
  </si>
  <si>
    <t>978-5-16-009576-9</t>
  </si>
  <si>
    <t>Рекомендовано в качестве учебного пособия для студентов высших учебных заведений, обучающихся по направлению 38.03.02 "Менеджмент"</t>
  </si>
  <si>
    <t>431900.07.01</t>
  </si>
  <si>
    <t>Английский язык в научной среде..: Уч.пос. / Л.М.Гальчук - 2 изд.-М.:Вуз.уч.,НИЦ ИНФРА-М,2024-80 с.(О)</t>
  </si>
  <si>
    <t>АНГЛИЙСКИЙ ЯЗЫК В НАУЧНОЙ СРЕДЕ: ПРАКТИКУМ УСТНОЙ РЕЧИ, ИЗД.2</t>
  </si>
  <si>
    <t>Гальчук Л.М.</t>
  </si>
  <si>
    <t>978-5-9558-0463-7</t>
  </si>
  <si>
    <t>Профессиональное образование / ВО - Магистратура</t>
  </si>
  <si>
    <t>00.04.16, 45.04.01, 45.04.02</t>
  </si>
  <si>
    <t>Рекомендовано Учебно-методическим объединением по образованию в области лингвистики Министерства образования и науки Российской Федерации в качестве учебного пособия по английскому языку для аспирантов, магистрантов и научных работников</t>
  </si>
  <si>
    <t>Новосибирский государственный университет экономики и управления</t>
  </si>
  <si>
    <t>774791.02.01</t>
  </si>
  <si>
    <t>Английский язык в проф. сфере: маркетинг...: Уч.пос. / Под ред. Дубинина - М. : ИНФРА-М, 2024 - 234 с.(П)</t>
  </si>
  <si>
    <t>АНГЛИЙСКИЙ ЯЗЫК В ПРОФЕССИОНАЛЬНОЙ СФЕРЕ: МАРКЕТИНГ И ЛОГИСТИКА = ENGLISH FOR SPECIFIC PURPOSES: MARKETING AND LOGISTICS</t>
  </si>
  <si>
    <t>Белогаш М.А., Дубинина Г.А., Кондрахина Н.Г. и др.</t>
  </si>
  <si>
    <t>978-5-16-018311-4</t>
  </si>
  <si>
    <t>00.03.02, 38.03.01, 38.03.02, 38.04.02</t>
  </si>
  <si>
    <t>Рекомендовано Советом Департамента английского языка и профессиональной коммуникации Финансового университета при Правительстве Российской Федерации</t>
  </si>
  <si>
    <t>170550.10.01</t>
  </si>
  <si>
    <t>Английский язык в ситуациях повседнев. дел.общения: Уч.пос./З.В.Маньковская -М:НИЦ ИНФРА-М,2024-223с</t>
  </si>
  <si>
    <t>978-5-16-005065-2</t>
  </si>
  <si>
    <t>Рекомендовано Учебно-методическим объединением по образованию в области лингвистики Министерства образования и науки Российской Федерации в качестве учебного пособия по английскому языкудля студентов, обучающихся по специальности «Перевод и переводоведение» направления «Лингвистика и межкультурная коммуникация»</t>
  </si>
  <si>
    <t>804944.01.01</t>
  </si>
  <si>
    <t>Английский язык в сфере строит. (English for Students of Civil...): Уч. / О.Н.Анюшенкова-М.:ИНФРА-М,2024-371с.(п)</t>
  </si>
  <si>
    <t>АНГЛИЙСКИЙ ЯЗЫК В СФЕРЕ СТРОИТЕЛЬСТВА (ENGLISH FOR STUDENTS OF CIVIL ENGINEERING AND CONSTRUCTION)</t>
  </si>
  <si>
    <t>978-5-16-018711-2</t>
  </si>
  <si>
    <t>08.02.01, 08.02.02, 08.02.03, 08.02.04, 08.02.08, 08.02.09, 08.02.12, 08.02.13, 08.02.14, 23.02.08</t>
  </si>
  <si>
    <t>633323.08.01</t>
  </si>
  <si>
    <t>Английский язык в сфере юриспруденции: Уч. / Э.Г.Куликова - М.:Юр.Норма, НИЦ ИНФРА-М,2024.-208 с.(О)</t>
  </si>
  <si>
    <t>АНГЛИЙСКИЙ ЯЗЫК В СФЕРЕ ЮРИСПРУДЕНЦИИ</t>
  </si>
  <si>
    <t>Куликова Э.Г., Солдатов Б.Г., Солдатова Н.В.</t>
  </si>
  <si>
    <t>Юр. НОРМА</t>
  </si>
  <si>
    <t>978-5-91768-744-5</t>
  </si>
  <si>
    <t>40.03.01</t>
  </si>
  <si>
    <t>Рекомендовано Учебно-методическим объединением по юридическому образованию вузов Российской Федерации в качестве учебника для студентов образовательных организаций, обучающихся по направлению подготовки 40.03.01 (030900) «Юриспруденция», квалификация (степень) «бакалавр»</t>
  </si>
  <si>
    <t>Ростовский институт народного хозяйства</t>
  </si>
  <si>
    <t>683242.04.01</t>
  </si>
  <si>
    <t>Английский язык в сфере юриспруденции: Уч. / Э.Г.Куликова-М.:Юр.Норма, НИЦ ИНФРА-М,2024-208с(СПО)(П)</t>
  </si>
  <si>
    <t>978-5-91768-926-5</t>
  </si>
  <si>
    <t>179600.19.01</t>
  </si>
  <si>
    <t>Английский язык для архитекторов: Уч. / И.С.Ивянская - 2 изд. - М.:КУРС,НИЦ ИНФРА-М,2023 - 400с.(О)</t>
  </si>
  <si>
    <t>АНГЛИЙСКИЙ ЯЗЫК ДЛЯ АРХИТЕКТОРОВ, ИЗД.2</t>
  </si>
  <si>
    <t>Ивянская И.С.</t>
  </si>
  <si>
    <t>КУРС</t>
  </si>
  <si>
    <t>978-5-905554-38-4</t>
  </si>
  <si>
    <t>07.03.01, 07.03.04, 07.04.01, 07.04.04</t>
  </si>
  <si>
    <t>Допущено УМО по образоанию в области архитектуры в качестве учебного пособия для студентов вузов обучающихся по направлению «Архитектура»</t>
  </si>
  <si>
    <t>Информационно-технологический центр Москомархитектуры</t>
  </si>
  <si>
    <t>0214</t>
  </si>
  <si>
    <t>765163.01.01</t>
  </si>
  <si>
    <t>Английский язык для железнодорожников: Уч. / О.Н.Анюшенкова-М.:НИЦ ИНФРА-М,2024.-503 с.(СПО (ФинУн))(п)</t>
  </si>
  <si>
    <t>АНГЛИЙСКИЙ ЯЗЫК ДЛЯ ЖЕЛЕЗНОДОРОЖНИКОВ</t>
  </si>
  <si>
    <t>978-5-16-017443-3</t>
  </si>
  <si>
    <t>23.01.14, 23.01.15, 23.01.16, 23.02.01, 23.02.05, 23.02.06, 23.02.08, 27.02.03, 43.02.06</t>
  </si>
  <si>
    <t>Октябрь, 2023</t>
  </si>
  <si>
    <t>658925.05.01</t>
  </si>
  <si>
    <t>Английский язык для курсантов военных спец..: Уч.пос. / Т.Г.Мошкина - М.:НИЦ ИНФРА-М, СФУ,2023-140с(О)</t>
  </si>
  <si>
    <t>АНГЛИЙСКИЙ ЯЗЫК ДЛЯ КУРСАНТОВ ВОЕННЫХ СПЕЦИАЛЬНОСТЕЙ РАДИОТЕХНИЧЕСКИХ НАПРАВЛЕНИЙ</t>
  </si>
  <si>
    <t>Мошкина Т.Г., Шагалина О.В.</t>
  </si>
  <si>
    <t>Военное образование (СФУ)</t>
  </si>
  <si>
    <t>978-5-16-017209-5</t>
  </si>
  <si>
    <t>11.03.01, 11.03.02, 11.03.03, 11.03.04, 11.05.01, 11.05.02, 11.05.04</t>
  </si>
  <si>
    <t>Рекомендовано УМО вузов РФ по образованию в области радиотехники, электроники, биомедицинской техники и автоматизации в качестве учебника для студентов высших учебных заведений, обучающихся по специальностям «Проектирование и технология радиоэлектронных средств» и «Проектирование и технология электронно-вычислительных средств» направления 11.03.03 «Конструирование и технология электронных средств»</t>
  </si>
  <si>
    <t>0117</t>
  </si>
  <si>
    <t>768662.02.01</t>
  </si>
  <si>
    <t>Английский язык для машиностроит. специальностей: Уч. / Г.В.Шевцова-М.:НИЦ ИНФРА-М,2024-266с.(СПО)(п)</t>
  </si>
  <si>
    <t>АНГЛИЙСКИЙ ЯЗЫК ДЛЯ МАШИНОСТРОИТЕЛЬНЫХ СПЕЦИАЛЬНОСТЕЙ</t>
  </si>
  <si>
    <t>Шевцова Г.В., Москалец Л.Е.</t>
  </si>
  <si>
    <t>978-5-16-018397-8</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</si>
  <si>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укрупненной группе специальностей 15.00.00 «Машиностроение» (протокол № 1 от 17.01.2023)</t>
  </si>
  <si>
    <t>Южно-Российский государственный политехнический университет (НПИ) им. М.И. Платова</t>
  </si>
  <si>
    <t>765194.01.01</t>
  </si>
  <si>
    <t>Английский язык для моряков и судостроителей: Уч. / О.Н.Анюшенкова-М.:НИЦ ИНФРА-М,2024-782 с.(СПО)(п)</t>
  </si>
  <si>
    <t>АНГЛИЙСКИЙ ЯЗЫК ДЛЯ МОРЯКОВ И СУДОСТРОИТЕЛЕЙ = ENGLISH FOR SEAFARERS AND SHIPBUILDERS</t>
  </si>
  <si>
    <t>978-5-16-017900-1</t>
  </si>
  <si>
    <t>26.02.01, 26.02.02, 26.02.03, 26.02.04, 26.02.05, 26.02.06</t>
  </si>
  <si>
    <t>819335.01.01</t>
  </si>
  <si>
    <t>Английский язык для психотерапии и консультир.: Уч. / М.В.Мельничук-М.:НИЦ ИНФРА-М,2024.-258 с.(ВО)(п)</t>
  </si>
  <si>
    <t>АНГЛИЙСКИЙ ЯЗЫК ДЛЯ ПСИХОТЕРАПИИ И КОНСУЛЬТИРОВАНИЯ</t>
  </si>
  <si>
    <t>978-5-16-019606-0</t>
  </si>
  <si>
    <t>37.03.01, 37.04.01</t>
  </si>
  <si>
    <t>Май, 2024</t>
  </si>
  <si>
    <t>125950.12.01</t>
  </si>
  <si>
    <t>Английский язык для совр. менедж.: Уч. пос. /З.В.Маньковская -2 изд. -Форум: ИНФРА-М, 2023-152с. (ВО)</t>
  </si>
  <si>
    <t>АНГЛИЙСКИЙ ЯЗЫК ДЛЯ СОВРЕМЕННЫХ МЕНЕДЖЕРОВ, ИЗД.2</t>
  </si>
  <si>
    <t>Маньковская З. В.</t>
  </si>
  <si>
    <t>978-5-91134-975-2</t>
  </si>
  <si>
    <t>38.03.02, 38.03.04, 38.04.02, 38.04.04</t>
  </si>
  <si>
    <t>Рекомендовано Научно-методическим советом по иностранным языкам Мин. обр. и науки РФ в качестве учебного пособия для студентов высших учебных заведений, обучающихся по специальности 080500.68 - Менеджмент</t>
  </si>
  <si>
    <t>0215</t>
  </si>
  <si>
    <t>706166.03.01</t>
  </si>
  <si>
    <t>Английский язык для технических вузов: Уч.пос. / З.В.Маньковская-М.:НИЦ ИНФРА-М,2022-270 с.-(ВО: Бакалавр.)(П)</t>
  </si>
  <si>
    <t>АНГЛИЙСКИЙ ЯЗЫК ДЛЯ ТЕХНИЧЕСКИХ ВУЗОВ</t>
  </si>
  <si>
    <t>978-5-16-015452-7</t>
  </si>
  <si>
    <t>00.03.02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</si>
  <si>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техническим  направлениям подготовки (квалификация (степень) «бакалавр») (протокол № 8 от 22.06.2020)</t>
  </si>
  <si>
    <t>690286.05.01</t>
  </si>
  <si>
    <t>Английский язык для технических спец.: Уч.пос. / С.С.Литвинская - М.:НИЦ ИНФРА-М,2024 - 252 с.(СПО)(П)</t>
  </si>
  <si>
    <t>АНГЛИЙСКИЙ ЯЗЫК ДЛЯ ТЕХНИЧЕСКИХ СПЕЦИАЛЬНОСТЕЙ</t>
  </si>
  <si>
    <t>Литвинская С.С.</t>
  </si>
  <si>
    <t>978-5-16-014535-8</t>
  </si>
  <si>
    <t>05.02.02, 05.02.03, 08.02.13, 13.02.13, 20.02.01, 20.02.02, 21.01.03, 21.02.03, 21.02.09, 21.02.10, 21.02.12, 21.02.13, 21.02.19, 23.02.03, 24.02.02, 27.02.04, 27.02.05, 27.02.06, 27.02.07, 35.01.05, 35.01.06, 39.02.01, 55.02.02</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</si>
  <si>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23.02.03 «Техническое обслуживание и ремонт автомобильного транспорта», 13.02.11 «Техническая эксплуатация и обслуживание электрического и электромеханического оборудования (по отраслям)» (протокол №14 от 30.09.2019)</t>
  </si>
  <si>
    <t>Приамурский государственный университет имени Шолом-Алейхема</t>
  </si>
  <si>
    <t>188150.10.01</t>
  </si>
  <si>
    <t>Английский язык для эконом. специал.: Уч.пос. /Л.С.Чикилева -2 изд.-М.:КУРС,НИЦ ИНФРА-М,2023-160с(о)</t>
  </si>
  <si>
    <t>АНГЛИЙСКИЙ ЯЗЫК ДЛЯ ЭКОНОМИЧЕСКИХ СПЕЦИАЛЬНОСТЕЙ, ИЗД.2</t>
  </si>
  <si>
    <t>Чикилева Л.С., Матвеева И.В.</t>
  </si>
  <si>
    <t>978-5-905554-71-1</t>
  </si>
  <si>
    <t>38.02.07, 38.03.01, 38.03.02, 38.03.03, 38.03.04, 38.03.05, 38.03.06, 38.03.07, 38.03.10</t>
  </si>
  <si>
    <t>Рекомендовано Научно-методическим советом по иностранным языкам Министерства образования и науки РФ в качестве учебного пособия для студентов высших учебных заведений, обучающихся по направлению(38.03.01) «Экономика»</t>
  </si>
  <si>
    <t>633718.06.01</t>
  </si>
  <si>
    <t>Английский язык для экономистов: Уч. / Т.В.Евсюкова и др.-М.:ИЦ РИОР, НИЦ ИНФРА-М,2024-192с.(ВО)(П)</t>
  </si>
  <si>
    <t>АНГЛИЙСКИЙ ЯЗЫК ДЛЯ ЭКОНОМИСТОВ</t>
  </si>
  <si>
    <t>Евсюкова Т.В., Барабанова И.Г., Агабабян С.Р.</t>
  </si>
  <si>
    <t>978-5-369-01600-8</t>
  </si>
  <si>
    <t>00.03.13</t>
  </si>
  <si>
    <t>682933.04.01</t>
  </si>
  <si>
    <t>Английский язык. GUIDES FOR ADVERTISING...: Уч.пос. / А.П.Миньяр-Белоручева- 2 изд.-М.:НИЦ ИНФРА-М,2024-176с</t>
  </si>
  <si>
    <t>АНГЛИЙСКИЙ ЯЗЫК. GUIDES FOR ADVERTISING. РЕКЛАМА В ТУРИЗМЕ, ИЗД.2</t>
  </si>
  <si>
    <t>978-5-16-014100-8</t>
  </si>
  <si>
    <t>42.03.01, 43.03.02, 49.03.03</t>
  </si>
  <si>
    <t>Допущено УМО по классическому университетскому образованию в качестве учебного пособия для студентов вузов, обучающихся по направлению подготовки 43.03.02 «Туризм»</t>
  </si>
  <si>
    <t>820895.01.01</t>
  </si>
  <si>
    <t>Английский язык. Учебно-познават. сфера общения: Уч.пос. / Н.А.Грищенко-М.:НИЦ ИНФРА-М, СФУ,2024.-126с(ВО)(п)</t>
  </si>
  <si>
    <t>АНГЛИЙСКИЙ ЯЗЫК. УЧЕБНО-ПОЗНАВАТЕЛЬНАЯ СФЕРА ОБЩЕНИЯ</t>
  </si>
  <si>
    <t>Грищенко Н.А., Ершова Е.О., Корниенко В.В. и др.</t>
  </si>
  <si>
    <t>978-5-16-019581-0</t>
  </si>
  <si>
    <t>38.03.02, 38.03.03</t>
  </si>
  <si>
    <t>776370.01.01</t>
  </si>
  <si>
    <t>Английский язык: гостиничное дело и...: Уч. / О.Н.Анюшенкова - М.:НИЦ ИНФРА-М,2022 - 358 с.(ВО: Бакалавр.)(П)</t>
  </si>
  <si>
    <t>978-5-16-017599-7</t>
  </si>
  <si>
    <t>19.03.04, 19.04.04, 43.03.03, 43.04.02, 43.04.03</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</si>
  <si>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направлениям подготовки 43.03.01 «Сервис», 43.03.03 «Гостиничное дело», 19.03.04 «Технология продукции и организация общественного питания» (квалификация (степень) «бакалавр») (протокол № 10 от 15.12.2021)</t>
  </si>
  <si>
    <t>732327.03.01</t>
  </si>
  <si>
    <t>Английский язык: пос. по чтению и переводу / А.З.Измайлов - М.:Магистр, НИЦ ИНФРА-М,2023 - 128 с.(О)</t>
  </si>
  <si>
    <t>АНГЛИЙСКИЙ ЯЗЫК: ПОСОБИЕ ПО ЧТЕНИЮ И ПЕРЕВОДУ</t>
  </si>
  <si>
    <t>Измайлов А.З., Ковалева С.С.</t>
  </si>
  <si>
    <t>Магистр</t>
  </si>
  <si>
    <t>978-5-9776-0514-4</t>
  </si>
  <si>
    <t>797594.01.01</t>
  </si>
  <si>
    <t>Английский язык: транспорт...: Уч.пос. / Л.Т.Шариева-М.:НИЦ ИНФРА-М,2024.-160 с.(СПО)(п)</t>
  </si>
  <si>
    <t>АНГЛИЙСКИЙ ЯЗЫК: ТРАНСПОРТНЫЕ СРЕДСТВА, СТРОИТЕЛЬНЫЕ И ДОРОЖНЫЕ МАШИНЫ (ENGLISH. TRANSPORT. ROAD CONSTRUCTION MACHINERY)</t>
  </si>
  <si>
    <t>Шариева Л.Т.</t>
  </si>
  <si>
    <t>978-5-16-018376-3</t>
  </si>
  <si>
    <t>23.01.17, 23.02.01, 23.02.02, 23.02.03, 23.02.04, 23.02.05, 23.02.07</t>
  </si>
  <si>
    <t>Альметьевский политехнический техникум</t>
  </si>
  <si>
    <t>Февраль, 2024</t>
  </si>
  <si>
    <t>066900.12.01</t>
  </si>
  <si>
    <t>Английский язык: Уч. пос. / Н.М.Дюканова. - 2 изд. - М.: НИЦ ИНФРА-М, 2022-319с.(ВО:Бакалавр.) (п) ISBN:978-5-16-006254-9</t>
  </si>
  <si>
    <t>АНГЛИЙСКИЙ ЯЗЫК, ИЗД.2</t>
  </si>
  <si>
    <t>Дюканова Н. М.</t>
  </si>
  <si>
    <t>978-5-16-006254-9</t>
  </si>
  <si>
    <t>381500.06.01</t>
  </si>
  <si>
    <t>Английский язык: Уч.пос. / А.П.Миньяр-Белоручева-3 изд.-М.:Форум, НИЦ ИНФРА-М,2023.-192 с.(ВО: Бакалавр.)(О)</t>
  </si>
  <si>
    <t>АНГЛИЙСКИЙ ЯЗЫК, ИЗД.3</t>
  </si>
  <si>
    <t>Миньяр-Белоручева А.П.</t>
  </si>
  <si>
    <t>978-5-00091-763-3</t>
  </si>
  <si>
    <t>50.03.03, 50.03.04</t>
  </si>
  <si>
    <t>Допущено Учебно-методическим объединением по классическому университетскому образованию в качестве учебного пособия по английскому языку для студентов высших учебных заведений, обучающихся по направлению подготовки 50.03.03 «История искусств»</t>
  </si>
  <si>
    <t>0316</t>
  </si>
  <si>
    <t>384400.05.01</t>
  </si>
  <si>
    <t>Английский язык: Уч.пос. / А.П.Миньяр-Белоручева-3изд.-М.:Форум, НИЦ ИНФРА-М,2023-144с(ВО:Бакалавр.)(О)</t>
  </si>
  <si>
    <t>978-5-00091-525-7</t>
  </si>
  <si>
    <t>07.03.01, 07.03.02, 07.03.03, 07.03.04</t>
  </si>
  <si>
    <t>Допущено Учебно-методическим объединением по классическому университетскому образованию в качестве учебного пособия по английскому языку для студентов высших учебных заведений, обучающихся по направлению  подготовки 50.03.03 «История искусств»</t>
  </si>
  <si>
    <t>339800.04.01</t>
  </si>
  <si>
    <t>Английский язык: Уч.пос. / А.П.Миньяр-Белоручева-М.:Форум,НИЦ ИНФРА-М,2023-304с.(ВО:Бакалавриат)(П)</t>
  </si>
  <si>
    <t>978-5-00091-045-0</t>
  </si>
  <si>
    <t>43.03.02, 49.03.03</t>
  </si>
  <si>
    <t>642931.10.01</t>
  </si>
  <si>
    <t>Английский язык: Уч.пос. / З.В.Маньковская - М.:НИЦ ИНФРА-М,2024 - 200 с.-(СПО)(П)</t>
  </si>
  <si>
    <t>АНГЛИЙСКИЙ ЯЗЫК</t>
  </si>
  <si>
    <t>978-5-16-012363-9</t>
  </si>
  <si>
    <t>00.01.02, 00.02.02, 13.02.05, 21.02.20, 26.02.04, 27.02.06</t>
  </si>
  <si>
    <t>Рекомендуется в качестве учебного пособия для использования учебными заведениями, реализующими основную профессиональную образовательную программу СПО социально-экономического профиля на базе основного общего образования с получением среднего общего профессионального образования</t>
  </si>
  <si>
    <t>682824.05.01</t>
  </si>
  <si>
    <t>Английский язык: Уч.пос. / Н.М.Дюканова - 2 изд.- М.:НИЦ ИНФРА-М, 2023 - 319 с.-(СПО)(П)</t>
  </si>
  <si>
    <t>978-5-16-013886-2</t>
  </si>
  <si>
    <t>38.01.01, 38.01.02, 38.01.03, 38.02.01, 38.02.02, 38.02.03, 38.02.06, 38.02.07, 38.02.08</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</si>
  <si>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38.02.01 «Экономика и бухгалтерский учет (по отраслям)», 38.02.02 «Страховое дело (по отраслям)», 38.02.03 «Операционная деятельность в логистике», 38.02.04 «Коммерция (по отраслям)», 38.02.05 «Товароведение и экспертиза качества потребительских товаров», 38.02.06 «Финансы», 38.02.07 «Банковское дело»</t>
  </si>
  <si>
    <t>0219</t>
  </si>
  <si>
    <t>674003.03.01</t>
  </si>
  <si>
    <t>Английский язык: электроэнергетика и электр.: Уч.пос. / А.А.Новикова - М.:НИЦ ИНФРА-М,2024 - 246 с.(п)</t>
  </si>
  <si>
    <t>АНГЛИЙСКИЙ ЯЗЫК: ЭЛЕКТРОЭНЕРГЕТИКА И ЭЛЕКТРОТЕХНИКА</t>
  </si>
  <si>
    <t>Новикова А.А.</t>
  </si>
  <si>
    <t>978-5-16-018988-8</t>
  </si>
  <si>
    <t>13.02.13, 13.03.02, 13.03.03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</si>
  <si>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13.03.02 «Электроэнергетика и электротехника» (протокол № 3 от 11.02.2019)</t>
  </si>
  <si>
    <t>Тюменский индустриальный университет, ф-л Тобольский индустриальный институт</t>
  </si>
  <si>
    <t>712458.07.01</t>
  </si>
  <si>
    <t>Английский язык: электроэнергетика...: Уч.пос. / А.А.Новикова - М.:НИЦ ИНФРА-М,2024-246с.(СПО)(П)</t>
  </si>
  <si>
    <t>978-5-16-015367-4</t>
  </si>
  <si>
    <t>13.02.01, 13.02.02, 13.02.04, 13.02.05, 13.02.07, 13.02.08, 13.02.09, 13.02.12, 13.02.13</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</si>
  <si>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13.02.00 «Электро- и теплоэнергетика» (протокол № 5 от 11.03.2019)</t>
  </si>
  <si>
    <t>ПО2</t>
  </si>
  <si>
    <t>415100.10.01</t>
  </si>
  <si>
    <t>Англо-русский слов. идиом и устойчив. словосочетаний.. /К.А.Солодушкина -М.:НИЦ ИНФРА-М,2023-243с(П)</t>
  </si>
  <si>
    <t>АНГЛО-РУССКИЙ СЛОВАРЬ ИДИОМ И УСТОЙЧИВЫХ СЛОВОСОЧЕТАНИЙ В ЯЗЫКЕ СОВРЕМЕННОЙ ПРЕССЫ (ПО СОЦИАЛЬНО-ЭКОНОМИЧЕСКИМ И МЕЖДУНАРОДНЫМ ПРОБЛЕМАМ)</t>
  </si>
  <si>
    <t>Солодушкина К.А.</t>
  </si>
  <si>
    <t>Библиотека словарей "ИНФРА-М"</t>
  </si>
  <si>
    <t>978-5-16-005173-4</t>
  </si>
  <si>
    <t>38.04.01, 41.03.05, 41.04.05, 45.03.01, 45.03.02, 45.03.03</t>
  </si>
  <si>
    <t>Санкт-Петербургский государственный технологический институт (технический университет)</t>
  </si>
  <si>
    <t>640145.06.01</t>
  </si>
  <si>
    <t>Англо-русский толковый словарь хоккейных терминов / С.Е.Гинзбург - М.:НИЦ ИНФРА-М,2023 - 238 с.(П)</t>
  </si>
  <si>
    <t>АНГЛО-РУССКИЙ ТОЛКОВЫЙ СЛОВАРЬ ХОККЕЙНЫХ ТЕРМИНОВ</t>
  </si>
  <si>
    <t>Гинзбург С.Е.</t>
  </si>
  <si>
    <t>Библиотека словарей ИНФРА-М</t>
  </si>
  <si>
    <t>978-5-16-012449-0</t>
  </si>
  <si>
    <t>45.03.02, 45.04.02, 45.05.01, 49.03.01, 49.04.01</t>
  </si>
  <si>
    <t>Лингва сервис центр</t>
  </si>
  <si>
    <t>774740.02.01</t>
  </si>
  <si>
    <t>Англосаксы: фальсификация полит. ист.: Моногр. / П.Л.Карабущенко-М.:НИЦ ИНФРА-М,2024.-367 с.(П)</t>
  </si>
  <si>
    <t>АНГЛОСАКСЫ: ФАЛЬСИФИКАЦИЯ ПОЛИТИЧЕСКОЙ ИСТОРИИ (ОПЫТ ИСТОРИЧЕСКОЙ ГЕРМЕНЕВТИКИ)</t>
  </si>
  <si>
    <t>Карабущенко П.Л., Вартумян А.А.</t>
  </si>
  <si>
    <t>978-5-16-017814-1</t>
  </si>
  <si>
    <t>41.03.04, 41.03.05, 41.03.06, 46.04.01</t>
  </si>
  <si>
    <t>Астраханский государственный университет</t>
  </si>
  <si>
    <t>259400.08.01</t>
  </si>
  <si>
    <t>Античные монеты и свинцовые тессеры..: Каталог/Н.А.Фролова -М.:ИЦ РИОР, НИЦ ИНФРА-М,2024-176с.(Науч. мысль)(О)</t>
  </si>
  <si>
    <t>АНТИЧНЫЕ МОНЕТЫ И СВИНЦОВЫЕ ТЕССЕРЫ ХЕРСОНЕСА ТАВРИЧЕСКОГО В СОБРАНИИ ГОСУДАРСТВЕННОГО ИСТОРИЧЕСКОГО МУЗЕЯ</t>
  </si>
  <si>
    <t>Фролова Н. А., Абрамзон М. Г., Кошеленко Г. А.</t>
  </si>
  <si>
    <t>978-5-369-01415-8</t>
  </si>
  <si>
    <t>Каталог</t>
  </si>
  <si>
    <t>44.03.01, 44.03.05, 46.03.01, 46.04.01</t>
  </si>
  <si>
    <t>695033.03.01</t>
  </si>
  <si>
    <t>Антропологическая элитология: Моногр. / П.Л.Карабущенко - М.:НИЦ ИНФРА-М,2024 - 340 с.(Науч.мысль)(П)</t>
  </si>
  <si>
    <t>АНТРОПОЛОГИЧЕСКАЯ ЭЛИТОЛОГИЯ</t>
  </si>
  <si>
    <t>Карабущенко П.Л.</t>
  </si>
  <si>
    <t>978-5-16-014637-9</t>
  </si>
  <si>
    <t>41.04.02, 41.06.01, 47.04.01, 47.06.01</t>
  </si>
  <si>
    <t>085050.16.01</t>
  </si>
  <si>
    <t>Антропология: Уч.пос. / Под ред. Сигиды Е.А. - М.:НИЦ ИНФРА-М,2024 - 240 с.(ВО)(п)</t>
  </si>
  <si>
    <t>АНТРОПОЛОГИЯ</t>
  </si>
  <si>
    <t>Лукьянова И. Е., Овчаренко В. А., Сигида Е. А.</t>
  </si>
  <si>
    <t>978-5-16-019780-7</t>
  </si>
  <si>
    <t>39.03.02, 39.04.02, 44.03.02, 44.03.05, 44.04.02, 46.03.01, 46.04.03, 51.03.01</t>
  </si>
  <si>
    <t>Рекомендовано Учебно-методическим объединением по образованию в области социальной работы в качестве учебного пособия для студентов высших учебных заведений, обучающихся по направлению подготовки 39.03.02 «Социальная работа»</t>
  </si>
  <si>
    <t>0108</t>
  </si>
  <si>
    <t>139400.13.01</t>
  </si>
  <si>
    <t>Архетипические психологические типы: Моногр. / С.Ю.Поройков-М.:НИЦ ИНФРА-М,2024.-597 с.(Науч.мысль)(п)</t>
  </si>
  <si>
    <t>АРХЕТИПИЧЕСКИЕ ПСИХОЛОГИЧЕСКИЕ ТИПЫ</t>
  </si>
  <si>
    <t>Поройков С. Ю.</t>
  </si>
  <si>
    <t>978-5-16-011617-4</t>
  </si>
  <si>
    <t>37.03.01, 37.03.02, 37.04.01, 37.04.02, 37.05.01, 37.05.02, 44.03.01, 44.03.02, 44.03.05, 44.04.02</t>
  </si>
  <si>
    <t>Московский государственный университет им. М.В. Ломоносова, факультет вычислительной математики и кибернетики</t>
  </si>
  <si>
    <t>703830.01.01</t>
  </si>
  <si>
    <t>Архивоведение: Уч.пос.-М.:НИЦ ИНФРА-М,2023.-206 с.(ВО: Бакалавриат)(П)</t>
  </si>
  <si>
    <t>АРХИВОВЕДЕНИЕ</t>
  </si>
  <si>
    <t>Булюлина Е.В.</t>
  </si>
  <si>
    <t>978-5-16-015311-7</t>
  </si>
  <si>
    <t>46.03.01, 46.03.02, 46.04.02</t>
  </si>
  <si>
    <t>Центр документации новейшей истории Волгоградской области</t>
  </si>
  <si>
    <t>765775.01.01</t>
  </si>
  <si>
    <t>Архивы документов по личному составу: Уч.пос. / Е.С.Герасимова-М.:НИЦ ИНФРА-М,2023.-186 с.(ВО)(п)</t>
  </si>
  <si>
    <t>АРХИВЫ ДОКУМЕНТОВ ПО ЛИЧНОМУ СОСТАВУ</t>
  </si>
  <si>
    <t>Герасимова Е.С.</t>
  </si>
  <si>
    <t>978-5-16-017879-0</t>
  </si>
  <si>
    <t>46.03.02</t>
  </si>
  <si>
    <t>352200.08.01</t>
  </si>
  <si>
    <t>Архитектоника объемных структур: Уч.пос. / О.И.Докучаева - М.:НИЦ ИНФРА-М,2023 - 333 с.(П)</t>
  </si>
  <si>
    <t>АРХИТЕКТОНИКА ОБЪЕМНЫХ СТРУКТУР</t>
  </si>
  <si>
    <t>Докучаева О.И.</t>
  </si>
  <si>
    <t>978-5-16-010874-2</t>
  </si>
  <si>
    <t>54.03.03, 54.04.03</t>
  </si>
  <si>
    <t>Рекомендовано в качестве учебного пособия для студентов высших учебных заведений по направлениям подготовки 29.03.05 «Конструирование изделий легкой промышленности» и 54.03.03 «Искусство костюма и текстиля» (квалификация (степень) «бакалавр»)</t>
  </si>
  <si>
    <t>066200.26.01</t>
  </si>
  <si>
    <t>Архитектура зданий: Уч. / Н.П.Вильчик - 2 изд. - М.:НИЦ ИНФРА-М,2024 - 319 с.-(СПО)(П)</t>
  </si>
  <si>
    <t>АРХИТЕКТУРА ЗДАНИЙ, ИЗД.2</t>
  </si>
  <si>
    <t>Вильчик Н. П.</t>
  </si>
  <si>
    <t>978-5-16-004279-4</t>
  </si>
  <si>
    <t>07.02.01, 08.02.01, 20.01.01</t>
  </si>
  <si>
    <t>Допущено Государственным комитетом Российской Федерации по строительству и жилищно-коммунальному комплексу в качестве учебника для студентов  средних специальных учебных заведений, обучающихся по специальности 08.02.01 «Строительство и эксплуатация зданий и сооружений»</t>
  </si>
  <si>
    <t>0210</t>
  </si>
  <si>
    <t>682920.07.01</t>
  </si>
  <si>
    <t>Архитектура общественных простр.: Моногр. / А.Л.Гельфонд - М.:НИЦ ИНФРА-М,2024 - 412 с.(Науч.мысль)(П)</t>
  </si>
  <si>
    <t>АРХИТЕКТУРА ОБЩЕСТВЕННЫХ ПРОСТРАНСТВ</t>
  </si>
  <si>
    <t>Гельфонд А.Л.</t>
  </si>
  <si>
    <t>978-5-16-014070-4</t>
  </si>
  <si>
    <t>07.03.01, 07.04.01</t>
  </si>
  <si>
    <t>Нижегородский государственный архитектурно-строительный университет</t>
  </si>
  <si>
    <t>720406.02.01</t>
  </si>
  <si>
    <t>Архитектура эволюции: Монография / Ю.И.Пацкевич - М.:НИЦ ИНФРА-М,2022 - 186 с.(Науч.мысль)(О)</t>
  </si>
  <si>
    <t>АРХИТЕКТУРА ЭВОЛЮЦИИ</t>
  </si>
  <si>
    <t>Пацкевич Ю.И., Пацкевич А.В.</t>
  </si>
  <si>
    <t>978-5-16-016916-3</t>
  </si>
  <si>
    <t>00.03.10, 00.05.10, 39.06.01</t>
  </si>
  <si>
    <t>340500.10.01</t>
  </si>
  <si>
    <t>Архитектурное проектир. обществ. зданий: Уч. / А.Л.Гельфонд, - 2 изд.-М.:НИЦ ИНФРА-М,2023.-373 с.(ВО)(п)</t>
  </si>
  <si>
    <t>АРХИТЕКТУРНОЕ ПРОЕКТИРОВАНИЕ ОБЩЕСТВЕННЫХ ЗДАНИЙ, ИЗД.2</t>
  </si>
  <si>
    <t>978-5-16-018400-5</t>
  </si>
  <si>
    <t>Рекомендовано Федеральным учебно-методическим объединением в системе высшего образования по укрупненной группе направлений «Архитектура» в качестве учебника для обучающихся по основным образовательным программам высшего образования</t>
  </si>
  <si>
    <t>0223</t>
  </si>
  <si>
    <t>340500.06.01</t>
  </si>
  <si>
    <t>Архитектурное проектирование общественных зданий: Уч. / А.Л.Гельфонд-М.:НИЦ ИНФРА-М,2023-368с(ВО)(П)</t>
  </si>
  <si>
    <t>АРХИТЕКТУРНОЕ ПРОЕКТИРОВАНИЕ ОБЩЕСТВЕННЫХ ЗДАНИЙ</t>
  </si>
  <si>
    <t>Высшее образование: Магистратура</t>
  </si>
  <si>
    <t>978-5-16-010739-4</t>
  </si>
  <si>
    <t>Допущено УМО по образованию в области архитектуры в качестве учебника для студентов вузов, обучающихся по направлению подготовки 07.04.01 «Архитектура» (квалификация (степень) «магистр»)</t>
  </si>
  <si>
    <t>343900.07.01</t>
  </si>
  <si>
    <t>Архитектурное проектирование...: Уч.пос. /Д.Б.Веретенников - М.:Форум, НИЦ ИНФРА-М,2024-176 с.-(О)</t>
  </si>
  <si>
    <t>АРХИТЕКТУРНОЕ ПРОЕКТИРОВАНИЕ. ПОДЗЕМНАЯ УРБАНИСТИКА</t>
  </si>
  <si>
    <t>Веретенников Д.Б.</t>
  </si>
  <si>
    <t>978-5-00091-055-9</t>
  </si>
  <si>
    <t>07.03.01, 07.04.01, 07.04.04</t>
  </si>
  <si>
    <t>Самарский государственный технический университет</t>
  </si>
  <si>
    <t>655225.04.01</t>
  </si>
  <si>
    <t>Архитектурно-компаратив. аспект правосл.монаст.Балкан. стран и Рос./ С.В.Ильвицкая-2изд.-М.:НИЦ ИНФРА-М,2023-257с</t>
  </si>
  <si>
    <t>АРХИТЕКТУРНО-КОМПАРАТИВНЫЙ АСПЕКТ ПРАВОСЛАВНЫХ МОНАСТЫРЕЙ БАЛКАНСКИХ СТРАН И РОССИИ, ИЗД.2</t>
  </si>
  <si>
    <t>Ильвицкая С.В.</t>
  </si>
  <si>
    <t>978-5-16-015512-8</t>
  </si>
  <si>
    <t>07.04.01, 07.04.02</t>
  </si>
  <si>
    <t>Государственный университет по землеустройству</t>
  </si>
  <si>
    <t>655225.02.01</t>
  </si>
  <si>
    <t>Архитектурно-компаративный аспект правосл.монаст.Балканских стран и России:Моногр./ С.В.Ильвицкая-М.:НИЦ ИНФРА-М,2018-99с</t>
  </si>
  <si>
    <t>АРХИТЕКТУРНО-КОМПАРАТИВНЫЙ АСПЕКТ ПРАВОСЛАВНЫХ МОНАСТЫРЕЙ БАЛКАНСКИХ СТРАН И РОССИИ</t>
  </si>
  <si>
    <t>978-5-16-012757-6</t>
  </si>
  <si>
    <t>446500.10.01</t>
  </si>
  <si>
    <t>Архитектурные конструкции и теор. конструир..: Уч.пос. / Е.В.Сысоева - М:НИЦ ИНФРА-М,2023-280с(ВО:Бак.)(П)</t>
  </si>
  <si>
    <t>АРХИТЕКТУРНЫЕ КОНСТРУКЦИИ И ТЕОРИЯ КОНСТРУИРОВАНИЯ:  МАЛОЭТАЖНЫЕ ЖИЛЫЕ ЗДАНИЯ</t>
  </si>
  <si>
    <t>Сысоева Е.В., Трушин С.И., Коновалов В.П. и др.</t>
  </si>
  <si>
    <t>978-5-16-011400-2</t>
  </si>
  <si>
    <t>07.03.01, 08.03.01</t>
  </si>
  <si>
    <t>Допущено УМО по образованию в области архитектуры в качестве учебного пособия для студентов вузов, обучающихся по направлениям подготовки 07.03.01 «Архитектура», 08.03.01 «Строительство» (квалификация (степень) «бакалавр»)</t>
  </si>
  <si>
    <t>Национальный исследовательский Московский государственный строительный университет</t>
  </si>
  <si>
    <t>687653.05.01</t>
  </si>
  <si>
    <t>Архитектурные конструкции и теория констр...: Уч.пос. / Е.В.Сысоева.-М.:НИЦ ИНФРА-М,2023-280с.(П)(СПО)</t>
  </si>
  <si>
    <t>АРХИТЕКТУРНЫЕ КОНСТРУКЦИИ И ТЕОРИЯ КОНСТРУИРОВАНИЯ: МАЛОЭТАЖНЫЕ ЖИЛЫЕ ЗДАНИЯ</t>
  </si>
  <si>
    <t>978-5-16-014238-8</t>
  </si>
  <si>
    <t>07.02.01, 08.02.01, 08.02.02, 08.02.04</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</si>
  <si>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07.02.01 «Архитектура», 08.02.01 «Строительство и эксплуатация зданий и сооружений»</t>
  </si>
  <si>
    <t>693813.04.01</t>
  </si>
  <si>
    <t>Архитектурные конструкции и теория конструир.: Уч.пос. / Е.В.Сысоева - 2 изд.-М.:НИЦ ИНФРА-М,2023-280с.(П)</t>
  </si>
  <si>
    <t>АРХИТЕКТУРНЫЕ КОНСТРУКЦИИ И ТЕОРИЯ КОНСТРУИРОВАНИЯ:  МАЛОЭТАЖНЫЕ ЖИЛЫЕ ЗДАНИЯ, ИЗД.2</t>
  </si>
  <si>
    <t>978-5-16-014471-9</t>
  </si>
  <si>
    <t>07.03.01, 08.02.01, 08.03.01</t>
  </si>
  <si>
    <t>Допущено УМО по образованию в области архитектуры в качестве учебного пособия для студентов вузов, обучающихся по направлениям подготовки «Архитектура», «Строительство»</t>
  </si>
  <si>
    <t>446500.11.01</t>
  </si>
  <si>
    <t>Архитектурные конструкции и теория...: Уч.пос. / Е.В.Сысоева - 2 изд.-М.:НИЦ ИНФРА-М,2023.-258 с.(ВО: Бак.)(п)</t>
  </si>
  <si>
    <t>АРХИТЕКТУРНЫЕ КОНСТРУКЦИИ И ТЕОРИЯ КОНСТРУИРОВАНИЯ: МАЛОЭТАЖНЫЕ ЖИЛЫЕ ЗДАНИЯ, ИЗД.2</t>
  </si>
  <si>
    <t>Сысоева Е.В., Трушин С.И., Коновалов В.П.</t>
  </si>
  <si>
    <t>978-5-16-018203-2</t>
  </si>
  <si>
    <t>166350.05.01</t>
  </si>
  <si>
    <t>Ассимиляция заимствов. из франц. яз. в...: Моногр. / Ж.Багана-М.:ИНФРА-М Изд.Дом,2020-149с.(Науч.мысль)(О)</t>
  </si>
  <si>
    <t>АССИМИЛЯЦИЯ ЗАИМСТВОВАНИЙ ИЗ ФРАНЦУЗСКОГО ЯЗЫКА В СРЕДНЕАНГЛИЙСКИХ ДИАЛЕКТАХ</t>
  </si>
  <si>
    <t>Багана Ж., Бондаренко Е. В.</t>
  </si>
  <si>
    <t>ИНФРА-М Издательский Дом</t>
  </si>
  <si>
    <t>978-5-16-005231-1</t>
  </si>
  <si>
    <t>44.04.01, 44.06.01, 45.04.01, 45.04.02, 45.06.01</t>
  </si>
  <si>
    <t>657351.05.01</t>
  </si>
  <si>
    <t>Афроамериканская лит. США: очерки и портреты: Моногр/ / Б.А.Гиленсон-М.:НИЦ ИНФРА-М,2023.-187 с(П)</t>
  </si>
  <si>
    <t>АФРОАМЕРИКАНСКАЯ ЛИТЕРАТУРА США: ОЧЕРКИ И ПОРТРЕТЫ</t>
  </si>
  <si>
    <t>978-5-16-012826-9</t>
  </si>
  <si>
    <t>41.03.06, 42.03.02, 42.03.03, 42.03.04, 44.03.05</t>
  </si>
  <si>
    <t>682688.02.01</t>
  </si>
  <si>
    <t>Банальность бытия: Монография / С.В.Борзых - М.:НИЦ ИНФРА-М,2023 - 155 с.-(Науч.мысль)(О)</t>
  </si>
  <si>
    <t>БАНАЛЬНОСТЬ БЫТИЯ</t>
  </si>
  <si>
    <t>978-5-16-014027-8</t>
  </si>
  <si>
    <t>44.03.01, 44.03.05, 47.04.01</t>
  </si>
  <si>
    <t>777932.03.01</t>
  </si>
  <si>
    <t>Белорусский выбор. Политич. и экономич. анализ...: Моногр. / С.Ю.Глазьев -М.:НИЦ ИНФРА-М,2024.-218 с.(О)</t>
  </si>
  <si>
    <t>БЕЛОРУССКИЙ ВЫБОР. ПОЛИТИЧЕСКИЙ И ЭКОНОМИЧЕСКИЙ АНАЛИЗ РЕСПУБЛИКИ БЕЛАРУСЬ ДО И ПОСЛЕ ПРЕЗИДЕНТСКИХ ВЫБОРОВ 2020 ГОДА</t>
  </si>
  <si>
    <t>Глазьев С.Ю., Чистилин Д.К., Живалов В.Н. и др.</t>
  </si>
  <si>
    <t>978-5-16-017784-7</t>
  </si>
  <si>
    <t>41.03.01, 41.03.05, 41.03.06, 41.04.04, 41.06.01</t>
  </si>
  <si>
    <t>336600.02.01</t>
  </si>
  <si>
    <t>Библиометрические индикаторы: Практикум / В.В. Писляков - М.: НФПК:  НИЦ ИНФРА-М, 2015. - 60 с.</t>
  </si>
  <si>
    <t>БИБЛИОМЕТРИЧЕСКИЕ ИНДИКАТОРЫ</t>
  </si>
  <si>
    <t>Писляков В.В., Барышникова М.Ю., Арефьев П.Г.</t>
  </si>
  <si>
    <t>Национальный Фонд подготовки кадров</t>
  </si>
  <si>
    <t>Результаты научной деятельности: Политика. Оценка. Внедрение</t>
  </si>
  <si>
    <t>978-5-16-010696-0</t>
  </si>
  <si>
    <t>Практикум</t>
  </si>
  <si>
    <t>01.06.01, 02.06.01, 02.07.01, 03.06.01, 04.06.01, 04.07.01, 05.06.01, 06.06.01, 06.07.01, 07.06.01, 07.07.01, 07.09.01, 07.09.02, 07.09.03, 07.09.04, 08.06.01, 09.06.01, 10.06.01, 11.06.01, 12.06.01, 13.06.01, 14.06.01, 15.06.01, 16.06.01, 17.06.01, 18.06.01, 19.06.01, 20.06.01, 21.06.01, 21.06.02, 22.06.01, 23.06.01, 24.06.01, 25.06.01, 26.06.01, 27.06.01, 28.06.01, 29.06.01, 30.06.01, 30.07.01, 31.06.01, 31.07.01, 31.08.01, 31.08.02, 31.08.03, 31.08.04, 31.08.05, 31.08.06, 31.08.07, 31.08.08, 31.08.09, 31.08.10, 31.08.11, 31.08.12, 31.08.13, 31.08.14, 31.08.15, 31.08.16, 31.08.17, 31.08.18, 31.08.19, 31.08.20, 31.08.21, 31.08.22, 31.08.23, 31.08.24, 31.08.25, 31.08.26, 31.08.27, 31.08.28, 31.08.29, 31.08.30, 31.08.31, 31.08.32, 31.08.33, 31.08.34, 31.08.35, 31.08.36, 31.08.37, 31.08.38, 31.08.39, 31.08.40, 31.08.41, 31.08.42, 31.08.43, 31.08.44, 31.08.45, 31.08.46, 31.08.47, 31.08.48, 31.08.49, 31.08.50, 31.08.51, 31.08.52, 31.08.53, 31.08.54, 31.08.55, 31.08.56, 31.08.57, 31.08.58, 31.08.59, 31.08.60, 31.08.61, 31.08.62, 31.08.63, 31.08.64, 31.08.65, 31.08.66, 31.08.67, 31.08.68, 31.08.69, 31.08.70, 31.08.71, 31.08.72, 31.08.73, 31.08.74, 31.08.75, 31.08.76, 31.08.77, 32.06.01, 32.07.01, 32.08.01, 32.08.02, 32.08.03, 32.08.04, 32.08.05, 32.08.06, 32.08.07, 32.08.08, 32.08.09, 32.08.10, 32.08.11, 32.08.12, 32.08.13, 32.08.14, 33.06.01, 33.07.01, 33.08.01, 33.08.02, 33.08.03, 35.06.01, 35.06.02, 35.06.03, 35.06.04, 36.06.01, 37.06.01, 38.06.01, 38.07.02, 39.06.01, 39.07.01, 40.06.01, 41.06.01, 41.07.01, 42.06.01, 44.06.01, 44.07.01, 44.07.02, 45.06.01, 45.07.01, 46.06.01, 47.06.01, 47.07.01, 48.06.01, 49.06.01, 49.07.01, 50.06.01, 50.07.01, 51.06.01, 52.09.01, 52.09.02, 52.09.03, 52.09.04, 52.09.05, 52.09.06, 52.09.07, 52.09.08, 53.09.01, 53.09.02, 53.09.03, 53.09.04, 53.09.05, 54.09.01, 54.09.02, 54.09.03, 54.09.04, 54.09.05, 54.09.06, 54.09.07, 55.09.01, 55.09.02, 55.09.03</t>
  </si>
  <si>
    <t>Национальный исследовательский университет "Высшая школа экономики"</t>
  </si>
  <si>
    <t>289700.14.01</t>
  </si>
  <si>
    <t>Библиотековедение. История библиотек..: Уч.пос. / Л.И.Алешин-М.:Форум, НИЦ ИНФРА-М,2024.-239с(ВО)(О)</t>
  </si>
  <si>
    <t>БИБЛИОТЕКОВЕДЕНИЕ. ИСТОРИЯ БИБЛИОТЕК И ИХ СОВРЕМЕННОЕ СОСТОЯНИЕ</t>
  </si>
  <si>
    <t>Алешин Л. И.</t>
  </si>
  <si>
    <t>978-5-00091-785-5</t>
  </si>
  <si>
    <t>Рекомендовано в качестве учебного пособия для студентов высших учебных заведений, обучающихся по направлению подготовки 51.03.06 «Библиотечно-информационная деятельность» (квалификация (степень) «бакалавр»)</t>
  </si>
  <si>
    <t>Московский государственный институт культуры</t>
  </si>
  <si>
    <t>452200.13.01</t>
  </si>
  <si>
    <t>Библиотечный фонд: Сл.-справ. / Под ред. Столярова Ю.Н.-М.:НИЦ ИНФРА-М,2024.-160 с.(П)</t>
  </si>
  <si>
    <t>БИБЛИОТЕЧНЫЙ ФОНД</t>
  </si>
  <si>
    <t>Ратникова Е.И., Стародубова Н.З., Толчинская Л.М. и др.</t>
  </si>
  <si>
    <t>Библиотека малых словарей "Инфра-М"</t>
  </si>
  <si>
    <t>978-5-16-011455-2</t>
  </si>
  <si>
    <t>Словарь-справочник</t>
  </si>
  <si>
    <t>51.03.06, 51.04.06</t>
  </si>
  <si>
    <t>Российская государственная библиотека</t>
  </si>
  <si>
    <t>188350.08.01</t>
  </si>
  <si>
    <t>Бизнес-диалог/Business dialogue and ...: Reference book / Е.А. Спинова - М.: НИЦ Инфра-М, 2024-72с. (о)</t>
  </si>
  <si>
    <t>БИЗНЕС-ДИАЛОГ / BUSINESS DIALOGUE AND NEGOTIATION PHRASES</t>
  </si>
  <si>
    <t>Спинова Е.А.</t>
  </si>
  <si>
    <t>978-5-9776-0239-6</t>
  </si>
  <si>
    <t>Справочник</t>
  </si>
  <si>
    <t>41.03.05, 41.04.05, 45.03.02, 45.04.02, 45.05.01</t>
  </si>
  <si>
    <t>Всероссийская академия внешней торговли Министерства экономического развития Российской Федерации</t>
  </si>
  <si>
    <t>786543.04.01</t>
  </si>
  <si>
    <t>Богатство цвета в русском языке: Моногр. / В.К.Харченко-М.:НИЦ ИНФРА-М,2024.-233 с.(Науч.мысль)(о)</t>
  </si>
  <si>
    <t>БОГАТСТВО ЦВЕТА В РУССКОМ ЯЗЫКЕ</t>
  </si>
  <si>
    <t>978-5-16-018691-7</t>
  </si>
  <si>
    <t>45.04.02, 45.06.01</t>
  </si>
  <si>
    <t>143000.10.01</t>
  </si>
  <si>
    <t>Большой испанско-рус. сл.: Лат. Америка / Под ред. Фирсовой Н.М. - 2 изд.,-М.:НИЦ ИНФРА-М,2024-726с.(п)</t>
  </si>
  <si>
    <t>БОЛЬШОЙ ИСПАНСКО-РУССКИЙ СЛОВАРЬ: ЛАТИНСКАЯ АМЕРИКА, ИЗД.2</t>
  </si>
  <si>
    <t>Волкова А.С., Михеева Н.Ф., Кузнецов В.В. и др.</t>
  </si>
  <si>
    <t>978-5-16-006097-2</t>
  </si>
  <si>
    <t>45.03.01, 45.03.02, 45.04.02</t>
  </si>
  <si>
    <t>Санкт-Петербургский государственный университет</t>
  </si>
  <si>
    <t>714105.04.01</t>
  </si>
  <si>
    <t>Борьба за Евразию в фокусе транспортных геостратегий / Ю.А.Харламова - 2 изд.-М.:НИЦ ИНФРА-М,2022-219 с.(П)</t>
  </si>
  <si>
    <t>БОРЬБА ЗА ЕВРАЗИЮ В ФОКУСЕ ТРАНСПОРТНЫХ ГЕОСТРАТЕГИЙ, ИЗД.2</t>
  </si>
  <si>
    <t>Харламова Ю.А.</t>
  </si>
  <si>
    <t>978-5-16-016842-5</t>
  </si>
  <si>
    <t>38.04.01, 38.06.01, 40.06.01, 41.04.04, 41.04.05, 41.06.01</t>
  </si>
  <si>
    <t>Российский университет транспорта (МИИТ)</t>
  </si>
  <si>
    <t>0221</t>
  </si>
  <si>
    <t>714105.01.01</t>
  </si>
  <si>
    <t>Борьба за Евразию в фокусе транспортных геостратегий: Моногр./ Ю.А.Харламова-М.:НИЦ ИНФРА-М,2020-196с.(Науч.мысль)(П)</t>
  </si>
  <si>
    <t>БОРЬБА ЗА ЕВРАЗИЮ В ФОКУСЕ ТРАНСПОРТНЫХ ГЕОСТРАТЕГИЙ</t>
  </si>
  <si>
    <t>978-5-16-015450-3</t>
  </si>
  <si>
    <t>399600.04.01</t>
  </si>
  <si>
    <t>Бремя разума: Монография / С.В.Борзых-М.:НИЦ ИНФРА-М,2023.-115 с..-(Науч.мысль)(О)</t>
  </si>
  <si>
    <t>БРЕМЯ РАЗУМА</t>
  </si>
  <si>
    <t>978-5-16-011282-4</t>
  </si>
  <si>
    <t>39.00.00, 51.00.00, 39.04.01, 40.03.01, 44.03.01, 44.03.05, 47.03.01, 47.04.01, 51.04.01</t>
  </si>
  <si>
    <t>726513.03.01</t>
  </si>
  <si>
    <t>Будущее России: переход в новую формацию: Моногр./ В.Д.Попов - М.:НИЦ ИНФРА-М,2022 - 229 с.(Науч.мысль)(О)</t>
  </si>
  <si>
    <t>БУДУЩЕЕ РОССИИ: ПЕРЕХОД В НОВУЮ ФОРМАЦИЮ</t>
  </si>
  <si>
    <t>Попов В.Д.</t>
  </si>
  <si>
    <t>978-5-16-015903-4</t>
  </si>
  <si>
    <t>41.04.02, 41.04.04, 41.04.05, 41.06.01</t>
  </si>
  <si>
    <t>727996.03.01</t>
  </si>
  <si>
    <t>В поисках совр. концепции внеш. полит. США конца ХΙХ - нач. ХХ в. / Л.В.Байбакова-М.:НИЦ ИНФРА-М,2024.-187 с.(О)</t>
  </si>
  <si>
    <t>В ПОИСКАХ СОВРЕМЕННОЙ КОНЦЕПЦИИ ВНЕШНЕЙ ПОЛИТИКИ США КОНЦА ХΙХ - НАЧАЛА ХХ ВЕКА</t>
  </si>
  <si>
    <t>Байбакова Л.В.</t>
  </si>
  <si>
    <t>978-5-16-015954-6</t>
  </si>
  <si>
    <t>41.03.05</t>
  </si>
  <si>
    <t>Московский государственный университет им. М.В. Ломоносова</t>
  </si>
  <si>
    <t>766949.01.01</t>
  </si>
  <si>
    <t>В поиске смыслов...: Монография / Д.А.Чугунов-М.:НИЦ ИНФРА-М,2022.-340 с.(Науч.мысль)(П)</t>
  </si>
  <si>
    <t>В ПОИСКЕ СМЫСЛОВ. НЕМЕЦКОЯЗЫЧНАЯ ПРЕМИАЛЬНАЯ ЛИТЕРАТУРА 2001-2020 ГГ.</t>
  </si>
  <si>
    <t>Чугунов Д.А.</t>
  </si>
  <si>
    <t>978-5-16-017301-6</t>
  </si>
  <si>
    <t>45.04.01, 45.06.01</t>
  </si>
  <si>
    <t>Воронежский государственный университет</t>
  </si>
  <si>
    <t>666399.03.01</t>
  </si>
  <si>
    <t>Валюативные модели социального...: Моногр. / Ю.М.Коротченко-М.:Вуз.уч.,НИЦ ИНФРА-М,2020-153с.-(Научная книга)(О)</t>
  </si>
  <si>
    <t>ВАЛЮАТИВНЫЕ МОДЕЛИ СОЦИАЛЬНОГО: ГЕРОИ И ЦЕННОСТИ</t>
  </si>
  <si>
    <t>Коротченко Ю.М.</t>
  </si>
  <si>
    <t>Научная книга</t>
  </si>
  <si>
    <t>978-5-9558-0597-9</t>
  </si>
  <si>
    <t>37.03.01, 40.03.01, 41.03.04, 41.04.04, 44.03.01, 44.03.05, 47.03.01</t>
  </si>
  <si>
    <t>411550.08.01</t>
  </si>
  <si>
    <t>Введение в античную нумизматику: Уч.пос. / Л.Н.Казаманова - 2 изд. - М.:ИЦ РИОР:НИЦ ИНФРА-М,2023-360с.(ВО) (п)</t>
  </si>
  <si>
    <t>ВВЕДЕНИЕ В АНТИЧНУЮ НУМИЗМАТИКУ, ИЗД.2</t>
  </si>
  <si>
    <t>Казаманова Л. Н., Фролова Н. А., Кошеленко Г. А.</t>
  </si>
  <si>
    <t>978-5-369-01165-2</t>
  </si>
  <si>
    <t>46.03.01, 46.04.01, 50.03.01, 50.03.03, 50.03.04, 50.04.01, 50.04.03, 50.04.04, 51.04.04, 54.03.04, 54.04.04</t>
  </si>
  <si>
    <t>742372.02.01</t>
  </si>
  <si>
    <t>Введение в античную философию: Уч.пос. / Е.А.Воронцов-М.:НИЦ ИНФРА-М,2024.-201с.(ВО)(п)</t>
  </si>
  <si>
    <t>ВВЕДЕНИЕ В АНТИЧНУЮ ФИЛОСОФИЮ</t>
  </si>
  <si>
    <t>Воронцов Е.А.</t>
  </si>
  <si>
    <t>978-5-16-019025-9</t>
  </si>
  <si>
    <t>47.03.01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</si>
  <si>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гуманитарным направлениям подготовки (квалификация (степень) «бакалавр») (протокол № 6 от 08.06.2022)</t>
  </si>
  <si>
    <t>Российский государственный университет социальных технологий</t>
  </si>
  <si>
    <t>738198.04.01</t>
  </si>
  <si>
    <t>Введение в профессию "архитектор": Уч. / Н.Э.Оселко - М.:НИЦ ИНФРА-М,2024 - 229 с.(ВО)(п)</t>
  </si>
  <si>
    <t>ВВЕДЕНИЕ В ПРОФЕССИЮ "АРХИТЕКТОР"</t>
  </si>
  <si>
    <t>Оселко Н.Э.</t>
  </si>
  <si>
    <t>978-5-16-019523-0</t>
  </si>
  <si>
    <t>07.03.01</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</si>
  <si>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07.03.01 «Архитектура» (квалификация (степень) «бакалавр») (протокол № 8 от 20.10.2021)</t>
  </si>
  <si>
    <t>277100.07.01</t>
  </si>
  <si>
    <t>Введение в профессию (психология): Уч. / П.С.Гуревич-М.:НИЦ ИНФРА-М,2024.-415 с.(ВО: Бакалавр.)(П)</t>
  </si>
  <si>
    <t>ВВЕДЕНИЕ В ПРОФЕССИЮ (ПСИХОЛОГИЯ)</t>
  </si>
  <si>
    <t>Гуревич П.С.</t>
  </si>
  <si>
    <t>978-5-16-009783-1</t>
  </si>
  <si>
    <t>37.03.01, 37.03.02, 37.05.01, 37.05.02</t>
  </si>
  <si>
    <t>Московский государственный университет им. М.В. Ломоносова, факультет психологии</t>
  </si>
  <si>
    <t>657068.03.01</t>
  </si>
  <si>
    <t>Введение в философию: Уч.пос. / С.И.Платонова - М.:ИЦ РИОР, НИЦ ИНФРА-М,2022 - 212 с.-(ВО)(П)</t>
  </si>
  <si>
    <t>ВВЕДЕНИЕ В ФИЛОСОФИЮ</t>
  </si>
  <si>
    <t>Платонова С.И.</t>
  </si>
  <si>
    <t>978-5-369-01696-1</t>
  </si>
  <si>
    <t>00.03.11, 00.05.11</t>
  </si>
  <si>
    <t>Удмуртский государственный аграрный университет</t>
  </si>
  <si>
    <t>724400.03.01</t>
  </si>
  <si>
    <t>Введение в языкознание: Уч. / А.В.Блинов-М.:НИЦ ИНФРА-М,2024.-381 с..-(ВО)(п)</t>
  </si>
  <si>
    <t>ВВЕДЕНИЕ В ЯЗЫКОЗНАНИЕ</t>
  </si>
  <si>
    <t>Блинов А.В., Рождественский Ю.В.</t>
  </si>
  <si>
    <t>978-5-16-019190-4</t>
  </si>
  <si>
    <t>45.03.02, 45.03.03</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</si>
  <si>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45.03.01 «Филология» (квалификация (степень) «бакалавр») (протокол № 6 от 08.06.2022)</t>
  </si>
  <si>
    <t>Московский государственный университет им. М.В. Ломоносова, филологический факультет</t>
  </si>
  <si>
    <t>703446.07.01</t>
  </si>
  <si>
    <t>Введение в языкознание: Уч.пос. / Н.М.Орлова - 2 изд. - М.:НИЦ ИНФРА-М,2023 - 263 с.(ВО:Бакалавр.)(П)</t>
  </si>
  <si>
    <t>ВВЕДЕНИЕ В ЯЗЫКОЗНАНИЕ, ИЗД.2</t>
  </si>
  <si>
    <t>Орлова Н.М.</t>
  </si>
  <si>
    <t>978-5-16-014947-9</t>
  </si>
  <si>
    <t>44.03.05, 45.03.01, 45.03.02, 45.03.03, 45.03.04</t>
  </si>
  <si>
    <t>Рекомендовано Учебно-методическим советом ВО в качестве учебного пособия для студентов высших учебных заведений, обучающихся по направлениям подготовки 44.03.01 «Педагогическое образование», 44.03.04 «Профессиональное обучение (по отраслям)», 44.03.05 «Педагогическое образование (с двумя профилями подготовки)», 45.03.01 «Филология» (квалификация (степень) «бакалавр»)</t>
  </si>
  <si>
    <t>Саратовский государственный университет им. Н.Г. Чернышевского</t>
  </si>
  <si>
    <t>717633.02.01</t>
  </si>
  <si>
    <t>Введение в языкознание: Уч.пос. / Н.М.Орлова - 2 изд. - М.:НИЦ ИНФРА-М,2023 - 263 с.(СПО)(П)</t>
  </si>
  <si>
    <t>978-5-16-015513-5</t>
  </si>
  <si>
    <t>44.02.03, 44.02.06</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</si>
  <si>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44.02.00 «Образование и педагогические науки» (протокол № 10 от 27.05.2019)</t>
  </si>
  <si>
    <t>745016.01.01</t>
  </si>
  <si>
    <t>Вестиментарный код международ. общения: Моногр. / Л.О.Терновая-М.:НИЦ ИНФРА-М,2021.-249 с.(Науч.мысль)(О)</t>
  </si>
  <si>
    <t>ВЕСТИМЕНТАРНЫЙ КОД МЕЖДУНАРОДНОГО ОБЩЕНИЯ</t>
  </si>
  <si>
    <t>Терновая Л.О.</t>
  </si>
  <si>
    <t>978-5-16-016644-5</t>
  </si>
  <si>
    <t>39.06.01, 41.03.04, 41.03.05, 41.04.04, 41.04.05, 41.06.01, 51.06.01</t>
  </si>
  <si>
    <t>Московский автомобильно-дорожный государственный технический университет</t>
  </si>
  <si>
    <t>644533.09.01</t>
  </si>
  <si>
    <t>Взлеты и падения гениев науки: практ. по метод. науки: Моногр. / В.А.Канке - М.:НИЦ ИНФРА-М,2024-190с(П)</t>
  </si>
  <si>
    <t>ВЗЛЕТЫ И ПАДЕНИЯ ГЕНИЕВ НАУКИ: ПРАКТИКУМ ПО МЕТОДОЛОГИИ НАУКИ</t>
  </si>
  <si>
    <t>Канке В.А.</t>
  </si>
  <si>
    <t>978-5-16-012428-5</t>
  </si>
  <si>
    <t>Национальный исследовательский ядерный университет "МИФИ"</t>
  </si>
  <si>
    <t>733987.04.01</t>
  </si>
  <si>
    <t>Византия и Русь. Статус гос. как отражение..: Моногр. / Д.А.Казанцев - М.:НИЦ ИНФРА-М,2024 - 210с(О)</t>
  </si>
  <si>
    <t>ВИЗАНТИЯ И РУСЬ. СТАТУС ГОСУДАРЯ КАК ОТРАЖЕНИЕ ПОЛИТИЧЕСКОЙ КУЛЬТУРЫ (КОНЕЦ IX - НАЧАЛО XVI ВЕКА)</t>
  </si>
  <si>
    <t>Казанцев Д.А.</t>
  </si>
  <si>
    <t>978-5-16-016263-8</t>
  </si>
  <si>
    <t>00.05.04</t>
  </si>
  <si>
    <t>Центр развития экономики</t>
  </si>
  <si>
    <t>802976.01.01</t>
  </si>
  <si>
    <t>Виртуальное коммуникационное пространство: взаимодействие..: Моногр. / А.Б.Ромашкина-М.:НИЦ ИНФРА-М,2023.-231 с.(о)</t>
  </si>
  <si>
    <t>ВИРТУАЛЬНОЕ КОММУНИКАЦИОННОЕ ПРОСТРАНСТВО: ВЗАИМОДЕЙСТВИЕ ВЛАСТИ И ОБЩЕСТВА</t>
  </si>
  <si>
    <t>Ромашкина А.Б.</t>
  </si>
  <si>
    <t>978-5-16-018593-4</t>
  </si>
  <si>
    <t>41.04.04, 41.06.01</t>
  </si>
  <si>
    <t>682762.01.01</t>
  </si>
  <si>
    <t>Влияние регионов гос. внешнюю политику и междунар.соглашения: Моногр. -М.:Юр.Норма,2018-224с(П)</t>
  </si>
  <si>
    <t>ВЛИЯНИЕ РЕГИОНОВ ГОСУДАРСТВ НА ВНЕШНЮЮ ПОЛИТИКУ И МЕЖДУНАРОДНЫЕ СОГЛАШЕНИЯ</t>
  </si>
  <si>
    <t>Дубровина О.Ю.</t>
  </si>
  <si>
    <t>Переплет 7 + 1 тиснение</t>
  </si>
  <si>
    <t>978-5-91768-915-9</t>
  </si>
  <si>
    <t>41.03.04, 41.04.04, 41.06.01</t>
  </si>
  <si>
    <t>095660.10.01</t>
  </si>
  <si>
    <t>Внешнеторговый контракт = Contract..: Уч.пос./Н.М.Громова-2 изд.-М.:Магистр,НИЦ ИНФРА-М,2019-144с(О)</t>
  </si>
  <si>
    <t>ВНЕШНЕТОРГОВЫЙ КОНТРАКТ = CONTRACT IN FOREIGN TRADE, ИЗД.2</t>
  </si>
  <si>
    <t>Громова Н. М.</t>
  </si>
  <si>
    <t>978-5-9776-0064-4</t>
  </si>
  <si>
    <t>Московский государственный лингвистический университет</t>
  </si>
  <si>
    <t>0208</t>
  </si>
  <si>
    <t>734014.03.01</t>
  </si>
  <si>
    <t>Внешняя политика Древнего Рима...: Моногр. / А.Л.Панищев - М.:НИЦ ИНФРА-М,2023 - 161 с.(О)</t>
  </si>
  <si>
    <t>ВНЕШНЯЯ ПОЛИТИКА ДРЕВНЕГО РИМА В ПЕРИОД ЦАРЕЙ И РАННЕЙ РЕСПУБЛИКИ</t>
  </si>
  <si>
    <t>Панищев А.Л.</t>
  </si>
  <si>
    <t>978-5-16-016138-9</t>
  </si>
  <si>
    <t>Курский институт менеджмента, экономики и бизнеса</t>
  </si>
  <si>
    <t>637303.05.01</t>
  </si>
  <si>
    <t>Военная доктрина РФ  - М.:НИЦ ИНФРА-М,2019 - 22 с.(О)</t>
  </si>
  <si>
    <t>ВОЕННАЯ ДОКТРИНА РОССИЙСКОЙ ФЕДЕРАЦИИ</t>
  </si>
  <si>
    <t>Без автора</t>
  </si>
  <si>
    <t>Обложка. Внакидку</t>
  </si>
  <si>
    <t>978-5-16-012205-2</t>
  </si>
  <si>
    <t>Закон РФ</t>
  </si>
  <si>
    <t>40.03.01, 41.03.04, 41.03.06, 41.04.04, 44.03.01, 44.03.05</t>
  </si>
  <si>
    <t>773884.03.01</t>
  </si>
  <si>
    <t>Возвращаясь к Чехову: Моногр. / В.Я.Звиняцковский-М.:НИЦ ИНФРА-М,2024.-189 с.(Науч.мысль)(п)</t>
  </si>
  <si>
    <t>ВОЗВРАЩАЯСЬ К ЧЕХОВУ</t>
  </si>
  <si>
    <t>Звиняцковский В.Я.</t>
  </si>
  <si>
    <t>978-5-16-017513-3</t>
  </si>
  <si>
    <t>177500.17.01</t>
  </si>
  <si>
    <t>Возрастная психология: Уч.пос. / Б.Р.Мандель - 2изд.-М.:НИЦ ИНФРА-М,2024-350 с.-(ВО)(п)</t>
  </si>
  <si>
    <t>ВОЗРАСТНАЯ ПСИХОЛОГИЯ, ИЗД.2</t>
  </si>
  <si>
    <t>Мандель Б.Р.</t>
  </si>
  <si>
    <t>978-5-16-019850-7</t>
  </si>
  <si>
    <t>31.05.02, 37.03.01, 44.03.01, 44.03.02, 44.03.03, 44.03.04, 44.03.05, 44.05.01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</si>
  <si>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укрупненным группам направлений подготовки 44.03.00 «Образование и педагогические науки», 37.03.00 «Психологические науки» (квалификация (степень) «бакалавр») (протокол № 1 от 20.01.2020)</t>
  </si>
  <si>
    <t>Сибирский университет потребительской кооперации</t>
  </si>
  <si>
    <t>177500.09.01</t>
  </si>
  <si>
    <t>Возрастная психология: Уч.пос. / Б.Р.Мандель-М.:Вуз.уч., НИЦ ИНФРА-М,2019.-352 с.(ВО: Бакалавр.)(П)</t>
  </si>
  <si>
    <t>ВОЗРАСТНАЯ ПСИХОЛОГИЯ</t>
  </si>
  <si>
    <t>Мандель Б. Р.</t>
  </si>
  <si>
    <t>978-5-9558-0195-7</t>
  </si>
  <si>
    <t>682848.03.01</t>
  </si>
  <si>
    <t>Возрастная психология: Уч.пос. / Б.Р.Мандель-М.:НИЦ ИНФРА-М,2024.-338 с.(СПО)(П)</t>
  </si>
  <si>
    <t>978-5-16-018895-9</t>
  </si>
  <si>
    <t>20.02.05, 44.02.01, 44.02.02, 44.02.03, 44.02.04, 44.02.05, 44.02.06</t>
  </si>
  <si>
    <t>Рекомендовано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44.02.00 «Образование и педагогические науки»</t>
  </si>
  <si>
    <t>723510.04.01</t>
  </si>
  <si>
    <t>Война и мир в гибридном измерении: Моногр. / Л.О.Терновая - М.:НИЦ ИНФРА-М,2024 - 368 с.(Науч.мысль)(О)</t>
  </si>
  <si>
    <t>ВОЙНА И МИР В ГИБРИДНОМ ИЗМЕРЕНИИ</t>
  </si>
  <si>
    <t>978-5-16-015800-6</t>
  </si>
  <si>
    <t>656313.07.01</t>
  </si>
  <si>
    <t>Восточнославянское язычество: От рождения до гибели богов / М.Н.Козлов-М.:Вуз.уч.,НИЦ ИНФРА-М,2023-296с(П)</t>
  </si>
  <si>
    <t>ВОСТОЧНОСЛАВЯНСКОЕ ЯЗЫЧЕСТВО: ОТ РОЖДЕНИЯ ДО ГИБЕЛИ БОГОВ</t>
  </si>
  <si>
    <t>Козлов М.Н.</t>
  </si>
  <si>
    <t>Научная книга (Севастопольский государственный университет)</t>
  </si>
  <si>
    <t>978-5-9558-0562-7</t>
  </si>
  <si>
    <t>44.03.05, 51.03.01, 51.04.01</t>
  </si>
  <si>
    <t>151750.09.01</t>
  </si>
  <si>
    <t>Времена английского глагола....: Уч. пос. / А.А.Караванов - М.:НИЦ ИНФРА-М,2023 - 212 с-(ВО: Бакалавр.)(П)</t>
  </si>
  <si>
    <t>ВРЕМЕНА АНГЛИЙСКОГО ГЛАГОЛА.СИСТЕМА,ПРАВИЛА,УПРАЖНЕНИЯ,ТЕСТЫ</t>
  </si>
  <si>
    <t>Караванов А.А.</t>
  </si>
  <si>
    <t>978-5-16-011442-2</t>
  </si>
  <si>
    <t>00.03.02, 00.05.02, 35.01.16, 35.02.09</t>
  </si>
  <si>
    <t>719868.02.01</t>
  </si>
  <si>
    <t>Вспомогательные ист. дисциплины...: Уч.пос. / В.В.Шевцов-М.:НИЦ ИНФРА-М,2023.-283 с.(ВО)(П)</t>
  </si>
  <si>
    <t>ВСПОМОГАТЕЛЬНЫЕ ИСТОРИЧЕСКИЕ ДИСЦИПЛИНЫ: ИСТОРИЧЕСКАЯ МЕТРОЛОГИЯ РОССИИ</t>
  </si>
  <si>
    <t>Шевцов В.В.</t>
  </si>
  <si>
    <t>978-5-16-018588-0</t>
  </si>
  <si>
    <t>44.03.01, 44.03.05, 46.03.01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</si>
  <si>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46.03.01 «История» (квалификация (степень) «бакалавр») (протокол № 8 от 22.06.2020)</t>
  </si>
  <si>
    <t>Национальный исследовательский Томский государственный университет</t>
  </si>
  <si>
    <t>684145.02.01</t>
  </si>
  <si>
    <t>Вызов времени и ответы России:1917 - 2017: Моногр./Под ред. Кальной И.И.-М.:НИЦ ИНФРА-М,2019-323с(П)</t>
  </si>
  <si>
    <t>ВЫЗОВ ВРЕМЕНИ И ОТВЕТЫ РОССИИ: 1917 - 2017</t>
  </si>
  <si>
    <t>Кальной И.И.</t>
  </si>
  <si>
    <t>978-5-16-014267-8</t>
  </si>
  <si>
    <t>41.03.04, 41.03.05, 41.04.04, 41.04.05, 44.03.01, 44.03.05, 46.03.01, 46.04.01</t>
  </si>
  <si>
    <t>698315.02.01</t>
  </si>
  <si>
    <t>Гастрономическая геополитика: Моногр./ Л.О.Терновая - М.:НИЦ ИНФРА-М,2023 - 243 с.(Науч.мысль)(П)</t>
  </si>
  <si>
    <t>ГАСТРОНОМИЧЕСКАЯ ГЕОПОЛИТИКА</t>
  </si>
  <si>
    <t>978-5-16-014689-8</t>
  </si>
  <si>
    <t>19.04.04, 39.04.01, 39.06.01, 41.04.04, 41.06.01</t>
  </si>
  <si>
    <t>403750.07.01</t>
  </si>
  <si>
    <t>Гегель: Монография / В.С.Нерсесянц, - 2-е изд.-М.:Юр. НОРМА, НИЦ ИНФРА-М,2024.-112 с.(о)</t>
  </si>
  <si>
    <t>ГЕГЕЛЬ, ИЗД.2</t>
  </si>
  <si>
    <t>Нерсесянц В. С.</t>
  </si>
  <si>
    <t>978-5-91768-314-0</t>
  </si>
  <si>
    <t>0212</t>
  </si>
  <si>
    <t>409700.14.01</t>
  </si>
  <si>
    <t>Гендерная дифференциация в психологии: Уч.пос. / О.О.Андронникова - М.:Вуз.уч.,НИЦ ИНФРА-М,2023-264с(П)</t>
  </si>
  <si>
    <t>ГЕНДЕРНАЯ ДИФФЕРЕНЦИАЦИЯ В ПСИХОЛОГИИ</t>
  </si>
  <si>
    <t>Андронникова О. О.</t>
  </si>
  <si>
    <t>978-5-9558-0278-7</t>
  </si>
  <si>
    <t>37.03.01, 37.04.01, 44.03.02, 44.03.03, 44.04.02, 44.04.03</t>
  </si>
  <si>
    <t>641419.05.01</t>
  </si>
  <si>
    <t>Гендерная психология: Уч.пос. / Л.Э.Семенова - М.:НИЦ ИНФРА-М,2023 - 309 с.-(ВО)(п)</t>
  </si>
  <si>
    <t>ГЕНДЕРНАЯ ПСИХОЛОГИЯ</t>
  </si>
  <si>
    <t>Семенова Л.Э., Семенова В.Э.</t>
  </si>
  <si>
    <t>978-5-16-019452-3</t>
  </si>
  <si>
    <t>37.03.01, 37.03.02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</si>
  <si>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37.03.01 «Психология» (квалификация (степень) «бакалавр») (протокол № 3 от 17.03.2021)</t>
  </si>
  <si>
    <t>Национальный исследовательский Нижегородский государственный университет им. Н.И. Лобачевского</t>
  </si>
  <si>
    <t>707016.04.01</t>
  </si>
  <si>
    <t>Гендерная социология: женское движение...: Моногр. / Л.О.Терновая-М.:НИЦ ИНФРА-М,2023.-198 с.(Науч.мысль)(О)</t>
  </si>
  <si>
    <t>ГЕНДЕРНАЯ СОЦИОЛОГИЯ: ЖЕНСКОЕ ДВИЖЕНИЕ В ОТВЕТАХ НА «ЖЕНСКИЙ ВОПРОС»</t>
  </si>
  <si>
    <t>978-5-16-015198-4</t>
  </si>
  <si>
    <t>39.04.01, 39.06.01</t>
  </si>
  <si>
    <t>817378.01.01</t>
  </si>
  <si>
    <t>Гендерная социология: Уч. / Л.О.Терновая-М.:НИЦ ИНФРА-М,2024.-366 с.(ВО)(п)</t>
  </si>
  <si>
    <t>ГЕНДЕРНАЯ СОЦИОЛОГИЯ</t>
  </si>
  <si>
    <t>978-5-16-019676-3</t>
  </si>
  <si>
    <t>37.03.01, 39.03.01, 39.03.02, 39.03.03, 39.04.01, 39.04.03</t>
  </si>
  <si>
    <t>Апрель, 2024</t>
  </si>
  <si>
    <t>668187.01.01</t>
  </si>
  <si>
    <t>Геополитика. В 2 т.. Т. 1: Уч. / Р.Т.Мухаев, - 3-е изд.-М.:НИЦ ИНФРА-М,2024.-463 с.(ВО)(п)</t>
  </si>
  <si>
    <t>ГЕОПОЛИТИКА. В 2 Т., Т.1, ИЗД.3</t>
  </si>
  <si>
    <t>Мухаев Р.Т.</t>
  </si>
  <si>
    <t>978-5-16-018241-4</t>
  </si>
  <si>
    <t>38.04.04, 41.04.04, 41.04.05, 46.04.01</t>
  </si>
  <si>
    <t>0324</t>
  </si>
  <si>
    <t>111900.08.01</t>
  </si>
  <si>
    <t>Геополитика: история и теория: уч.пос. / В.В.Желтов-М.:Вузовский учебник, НИЦ ИНФРА-М,2018.-445 с.(О. КБС)</t>
  </si>
  <si>
    <t>ГЕОПОЛИТИКА: ИСТОРИЯ И ТЕОРИЯ</t>
  </si>
  <si>
    <t>Желтов В. В., Желтов М. В.</t>
  </si>
  <si>
    <t>978-5-9558-0373-9</t>
  </si>
  <si>
    <t>41.03.05, 41.04.05</t>
  </si>
  <si>
    <t>Рекомендовано УМО по классическому университетскому образованию в качестве учебного пособия для студентов вузов, обучающихся по направлению подготовки ВПО 030200 Политология</t>
  </si>
  <si>
    <t>111900.15.01</t>
  </si>
  <si>
    <t>Геополитика: теория и история: Уч. пос./В.В.Желтов-2 изд.-М.:Вузовский уч., НИЦ ИНФРА-М,2023-462с.(п)</t>
  </si>
  <si>
    <t>ГЕОПОЛИТИКА: ТЕОРИЯ И ИСТОРИЯ, ИЗД.2</t>
  </si>
  <si>
    <t>978-5-9558-0452-1</t>
  </si>
  <si>
    <t>103950.13.01</t>
  </si>
  <si>
    <t>Геополитика: Уч. пос. / А.В. Маринченко. - 2 изд. - М.: НИЦ ИНФРА-М, 2024. - 490 с.(ВО: Бакалавр.) (п)</t>
  </si>
  <si>
    <t>ГЕОПОЛИТИКА, ИЗД.2</t>
  </si>
  <si>
    <t>Маринченко А. В.</t>
  </si>
  <si>
    <t>978-5-16-019638-1</t>
  </si>
  <si>
    <t>38.03.04, 38.04.04, 41.03.01, 41.03.02, 41.03.04, 41.03.05, 41.04.02, 41.04.04, 41.04.05</t>
  </si>
  <si>
    <t>Допущено Советом Учебно-методического объединения вузов России по образованию в области менеджмента в качестве учебного пособия по специальности "Государственное и муниципальное управление"</t>
  </si>
  <si>
    <t>Международная академия наук экологии, безопасности человека и природы</t>
  </si>
  <si>
    <t>799343.01.01</t>
  </si>
  <si>
    <t>Геополитика: Уч.: В 2 т.Т. 2 / Р.Т.Мухаев, - 3 изд. - М.:НИЦ ИНФРА-М,2024 - 327 с.(ВО)(п)</t>
  </si>
  <si>
    <t>ГЕОПОЛИТИКА. В 2 ТТ., Т.2, ИЗД.3</t>
  </si>
  <si>
    <t>978-5-16-018266-7</t>
  </si>
  <si>
    <t>758140.02.01</t>
  </si>
  <si>
    <t>Геополитическая культура: Монография / Л.О.Терновая - М.:НИЦ ИНФРА-М,2024 - 340 с.(Науч.мысль)(О)</t>
  </si>
  <si>
    <t>ГЕОПОЛИТИЧЕСКАЯ КУЛЬТУРА</t>
  </si>
  <si>
    <t>978-5-16-017000-8</t>
  </si>
  <si>
    <t>00.03.07, 41.04.01, 41.04.03, 41.04.04, 41.04.05, 41.06.01</t>
  </si>
  <si>
    <t>714020.03.01</t>
  </si>
  <si>
    <t>Геополитическая формула воды: Моногр. / Л.О.Терновая - М.:НИЦ ИНФРА-М,2024. - 229 с.(Науч.мысль)(О)</t>
  </si>
  <si>
    <t>ГЕОПОЛИТИЧЕСКАЯ ФОРМУЛА ВОДЫ</t>
  </si>
  <si>
    <t>978-5-16-015440-4</t>
  </si>
  <si>
    <t>38.04.01, 38.05.01, 41.03.04, 41.03.05, 41.04.04, 41.04.05</t>
  </si>
  <si>
    <t>464200.04.01</t>
  </si>
  <si>
    <t>Геополитический код дороги: от караванного пути..: Моногр. / Л.О.Терновая - М:НИЦ ИНФРА-М,2021-281с(П)</t>
  </si>
  <si>
    <t>ГЕОПОЛИТИЧЕСКИЙ КОД ДОРОГИ: ОТ КАРАВАННОГО ПУТИ ДО ХАЙВЕЯ</t>
  </si>
  <si>
    <t>978-5-16-011530-6</t>
  </si>
  <si>
    <t>23.03.01, 23.03.02, 23.03.03, 23.04.01, 23.04.02, 23.04.03</t>
  </si>
  <si>
    <t>422550.06.01</t>
  </si>
  <si>
    <t>Геопоэтика: международные отношения и искусство: Моногр. / Л.О.Терновая - М.:ИНФРА-М,2023-591 с.(П)</t>
  </si>
  <si>
    <t>ГЕОПОЭТИКА: МЕЖДУНАРОДНЫЕ ОТНОШЕНИЯ И ИСКУССТВО</t>
  </si>
  <si>
    <t>Терновая Л. О.</t>
  </si>
  <si>
    <t>978-5-16-018021-2</t>
  </si>
  <si>
    <t>41.06.01, 51.06.01</t>
  </si>
  <si>
    <t>144150.04.01</t>
  </si>
  <si>
    <t>Глобализация, трансформация, кризис - что дальше? / Г.В.Колодко - М.:Магистр,2017.-176 с.(П)</t>
  </si>
  <si>
    <t>ГЛОБАЛИЗАЦИЯ, ТРАНСФОРМАЦИЯ, КРИЗИС - ЧТО ДАЛЬШЕ?</t>
  </si>
  <si>
    <t>Колодко Г. В., Гринберг Р. С.</t>
  </si>
  <si>
    <t>978-5-9776-0171-9</t>
  </si>
  <si>
    <t>Общественные науки в целом</t>
  </si>
  <si>
    <t>Научное издание</t>
  </si>
  <si>
    <t>38.03.01, 38.03.02, 38.03.04, 38.04.01, 38.04.02, 38.04.04, 38.04.08, 38.05.01, 38.05.02, 38.06.01, 38.07.02, 41.03.05, 44.03.05, 47.04.02</t>
  </si>
  <si>
    <t>Университета Козьминского</t>
  </si>
  <si>
    <t>745952.03.01</t>
  </si>
  <si>
    <t>Глобализм и экофилософия будущего: Моногр. / Н.М.Исмаилов - М.:НИЦ ИНФРА-М,2024 - 253 с.(Науч.мысль)(О)</t>
  </si>
  <si>
    <t>ГЛОБАЛИЗМ И ЭКОФИЛОСОФИЯ БУДУЩЕГО</t>
  </si>
  <si>
    <t>Исмаилов Н.М.</t>
  </si>
  <si>
    <t>978-5-16-016670-4</t>
  </si>
  <si>
    <t>05.04.06, 05.06.01, 20.04.01, 20.04.02, 20.06.01, 47.04.01, 47.06.01</t>
  </si>
  <si>
    <t>Национальная академия наук Азербайджана</t>
  </si>
  <si>
    <t>320500.08.01</t>
  </si>
  <si>
    <t>Глобальные модели развития человечества: Уч.пос./Г.В.Осипов и др.-М.:Юр.Норма,НИЦ ИНФРА-М,2024-256с.(п)</t>
  </si>
  <si>
    <t>ГЛОБАЛЬНЫЕ МОДЕЛИ РАЗВИТИЯ ЧЕЛОВЕЧЕСТВА</t>
  </si>
  <si>
    <t>Осипов Г.В., Лисичкин В.А., Садовничий В.А.</t>
  </si>
  <si>
    <t>Социальные науки и математика</t>
  </si>
  <si>
    <t>978-5-91768-557-1</t>
  </si>
  <si>
    <t>06.04.01, 38.03.01, 41.04.05, 47.04.02</t>
  </si>
  <si>
    <t>334100.10.01</t>
  </si>
  <si>
    <t>Годы решений: Монография / О.Шпенглер - М.:НИЦ ИНФРА-М,2023 - 117 с.-(Науч.мысль)(О)</t>
  </si>
  <si>
    <t>ГОДЫ РЕШЕНИЙ</t>
  </si>
  <si>
    <t>Шпенглер О., Афанасьев В.В.</t>
  </si>
  <si>
    <t>978-5-16-010649-6</t>
  </si>
  <si>
    <t>758583.01.01</t>
  </si>
  <si>
    <t>Городище Артезиан в эпоху Средневековья: Моногр. / Н.И.Винокуров-М.:НИЦ ИНФРА-М,2022.-343 с.(Науч.мысль)(О)</t>
  </si>
  <si>
    <t>ГОРОДИЩЕ АРТЕЗИАН В ЭПОХУ СРЕДНЕВЕКОВЬЯ</t>
  </si>
  <si>
    <t>Винокуров Н.И., Пономарев Л.Ю.</t>
  </si>
  <si>
    <t>978-5-16-017103-6</t>
  </si>
  <si>
    <t>46.03.01, 46.04.01, 46.06.01, 50.03.03, 50.06.01, 51.03.04, 51.04.04, 51.06.01</t>
  </si>
  <si>
    <t>094690.10.01</t>
  </si>
  <si>
    <t>Господство: Очерки политической философии: Моногр. /И.А.Исаев -М.:Юр.Норма,НИЦ ИНФРА-М,2024-352с(О)</t>
  </si>
  <si>
    <t>ГОСПОДСТВО: ОЧЕРКИ ПОЛИТИЧЕСКОЙ ФИЛОСОФИИ</t>
  </si>
  <si>
    <t>Исаев И.А.</t>
  </si>
  <si>
    <t>978-5-00156-019-7</t>
  </si>
  <si>
    <t>41.04.04, 47.03.01, 47.04.01</t>
  </si>
  <si>
    <t>Московский государственный юридический университет им. О.Е. Кутафина</t>
  </si>
  <si>
    <t>238100.14.01</t>
  </si>
  <si>
    <t>Гости из прошлого: Сл. редких слов: В 3 т.Т 2: К-П / Е.В.Гаева - М.:НИЦ ИНФРА-М,2023-652 с.(о)</t>
  </si>
  <si>
    <t>ГОСТИ ИЗ ПРОШЛОГО</t>
  </si>
  <si>
    <t>Гаева Е.В.</t>
  </si>
  <si>
    <t>978-5-16-011397-5</t>
  </si>
  <si>
    <t>Дополнительное образование / Дополнительное профессиональное образование / ДПО - повышение квалификации</t>
  </si>
  <si>
    <t>45.03.01, 45.03.04, 45.04.01, 45.04.04, 45.05.01</t>
  </si>
  <si>
    <t>Курганский государственный университет</t>
  </si>
  <si>
    <t>237900.14.01</t>
  </si>
  <si>
    <t>Гости из прошлого: Сл. редких слов: В 3 т.Т.1: А-Й / Е.В.Гаева - М.:НИЦ ИНФРА-М,2023 - 631 с.(о)[12+]</t>
  </si>
  <si>
    <t>ГОСТИ ИЗ ПРОШЛОГО, Т.1</t>
  </si>
  <si>
    <t>978-5-16-011396-8</t>
  </si>
  <si>
    <t>238200.14.01</t>
  </si>
  <si>
    <t>Гости из прошлого: Словарь редких слов: В 3 т.Т.3: П-Я / Е.В.Гаева - М.:НИЦ ИНФРА-М,2023 - 621 с.(О)[12+]</t>
  </si>
  <si>
    <t>978-5-16-011399-9</t>
  </si>
  <si>
    <t>651768.08.01</t>
  </si>
  <si>
    <t>Государственная антикоррупц.политика: Уч. / Под ред. Абрамова Р.А.-М.:НИЦ ИНФРА-М,2023-429с.(ВО)(П)</t>
  </si>
  <si>
    <t>ГОСУДАРСТВЕННАЯ АНТИКОРРУПЦИОННАЯ ПОЛИТИКА</t>
  </si>
  <si>
    <t>Абрамов Р.А., Мухаев Р.Т., Жигун Л.А. и др.</t>
  </si>
  <si>
    <t>978-5-16-018435-7</t>
  </si>
  <si>
    <t>38.03.01, 38.03.04, 38.04.09, 41.03.04, 41.03.06</t>
  </si>
  <si>
    <t>Рекомендовано в качестве учебника для студентов высших учебных заведений, обучающихся по направлениям подготовки 38.03.04 «Государственное и муниципальное управление» (квалификация (степень) «бакалавр»)</t>
  </si>
  <si>
    <t>745647.03.01</t>
  </si>
  <si>
    <t>Государственная антикоррупционная политика: Уч. / Под ред. Абрамов Р.А.-М.:НИЦ ИНФРА-М,2021.-429 с..-(П)</t>
  </si>
  <si>
    <t>978-5-16-016539-4</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</si>
  <si>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укрупненным группам специальностей 38.05.00 «Экономика и управление», 40.05.00 «Юриспруденция»  (протокол № 8 от 22.06.2020)</t>
  </si>
  <si>
    <t>675026.02.01</t>
  </si>
  <si>
    <t>Государственная власть в соц. орг.совр.общ.: Моногр./ А.Ю.Мамычев-М:ИЦ РИОР,НИЦ ИНФРА-М,2019-290с(П)</t>
  </si>
  <si>
    <t>ГОСУДАРСТВЕННАЯ ВЛАСТЬ В СОЦИОКУЛЬТУРНОЙ ОРГАНИЗАЦИИ СОВРЕМЕННОГО ОБЩЕСТВА</t>
  </si>
  <si>
    <t>Мамычев А.Ю.</t>
  </si>
  <si>
    <t>Advances in Law Studies</t>
  </si>
  <si>
    <t>978-5-369-01737-1</t>
  </si>
  <si>
    <t>00.03.07, 38.03.04, 38.04.04, 39.04.02, 40.03.01, 41.03.06, 41.04.04, 44.03.05</t>
  </si>
  <si>
    <t>Владивостокский Государственный Университет</t>
  </si>
  <si>
    <t>740305.02.01</t>
  </si>
  <si>
    <t>Государственная полит. в отнош. городов и регионов с...: Моногр. / С.Н.Крекотнев-М.:НИЦ ИНФРА-М,2021.-260 с(П)</t>
  </si>
  <si>
    <t>ГОСУДАРСТВЕННАЯ ПОЛИТИКА В ОТНОШЕНИИ ГОРОДОВ И РЕГИОНОВ С МОНОСПЕЦИАЛИЗАЦИЕЙ: ОПЫТ И ПРИОРИТЕТЫ</t>
  </si>
  <si>
    <t>Крекотнев С.Н.</t>
  </si>
  <si>
    <t>978-5-16-017049-7</t>
  </si>
  <si>
    <t>38.04.01, 38.04.02, 38.04.04, 38.06.01</t>
  </si>
  <si>
    <t>293700.06.01</t>
  </si>
  <si>
    <t>Государственное управление: англ. для акад. целей: Уч. пос. /Л.В. Бондарева -2 изд-НИЦ ИНФРА-М, 2024-230с (ВО)(п)</t>
  </si>
  <si>
    <t>ГОСУДАРСТВЕННОЕ УПРАВЛЕНИЕ: АНГЛИЙСКИЙ ДЛЯ АКАДЕМИЧЕСКИХ ЦЕЛЕЙ = PUBLIC ADMINISTRATION: ENGLISH FOR ACADEMIC PURPOSES, ИЗД.2</t>
  </si>
  <si>
    <t>Бондарева Л.В., Валентей Т.В., Зимина С.В.</t>
  </si>
  <si>
    <t>978-5-16-010077-7</t>
  </si>
  <si>
    <t>38.03.04</t>
  </si>
  <si>
    <t>Национальный Исследовательский Технологический Университет "МИСИС"</t>
  </si>
  <si>
    <t>446250.06.01</t>
  </si>
  <si>
    <t>Государство и общественные объед.России в XX-нач.XXI: Уч.пос. / Л.Д.Шаповалова - М:НИЦ ИНФРА-М,2022-160с/(П)</t>
  </si>
  <si>
    <t>ГОСУДАРСТВО И ОБЩЕСТВЕННЫЕ ОБЪЕДИНЕНИЯ РОССИИ В XX - НАЧАЛЕ XXI ВВ.</t>
  </si>
  <si>
    <t>Шаповалова Л. Д.</t>
  </si>
  <si>
    <t>978-5-16-008988-1</t>
  </si>
  <si>
    <t>40.03.01, 44.03.05, 46.03.01, 46.03.02, 46.04.01, 46.04.02</t>
  </si>
  <si>
    <t>Рекомендовано Учебно-методическим объединением вузов Российской Федерации по образованию в области историко-архивоведения в качестве учебного пособия для студентов высших учебных заведений, обучающихся по направлению 46.03.02 «Документоведение и архивоведение»</t>
  </si>
  <si>
    <t>760105.01.01</t>
  </si>
  <si>
    <t>Государство и право как феномены религиозного сознания чел. / А.Л.Панищев-М.:НИЦ ИНФРА-М,2022.-314 с.(П)</t>
  </si>
  <si>
    <t>ГОСУДАРСТВО И ПРАВО КАК ФЕНОМЕНЫ РЕЛИГИОЗНОГО СОЗНАНИЯ ЧЕЛОВЕКА</t>
  </si>
  <si>
    <t>978-5-16-017074-9</t>
  </si>
  <si>
    <t>40.04.01, 40.06.01, 47.04.03, 47.06.01</t>
  </si>
  <si>
    <t>235500.10.01</t>
  </si>
  <si>
    <t>Градостроительство. Теория и прак.: Уч. пос. / Г.А.Потаев - М.: Форум:  НИЦ ИНФРА-М, 2023-432, [32]с.:цв.ил.(ВО) (П)</t>
  </si>
  <si>
    <t>ГРАДОСТРОИТЕЛЬСТВО. ТЕОРИЯ И ПРАКТИКА</t>
  </si>
  <si>
    <t>Потаев Г. А.</t>
  </si>
  <si>
    <t>978-5-91134-808-3</t>
  </si>
  <si>
    <t>07.03.01, 07.03.04</t>
  </si>
  <si>
    <t>Рекомендовано в качестве учебного пособия для студентов высших учебных заведений, обучающихся по специальностям «Градостроительство», «Архитектура», «Городское строительство», «Городское и региональное планирование», «Государственное и муниципальное</t>
  </si>
  <si>
    <t>Белорусский национальный технический университет</t>
  </si>
  <si>
    <t>235500.08.01</t>
  </si>
  <si>
    <t>Градостроительство: Уч.пос. / Г.А.Потаев, - 2 изд.-М.:НИЦ ИНФРА-М,2024.-478, [32] с.:цв.ил.(ВО)(п)</t>
  </si>
  <si>
    <t>ГРАДОСТРОИТЕЛЬСТВО, ИЗД.2</t>
  </si>
  <si>
    <t>Потаев Г.А.</t>
  </si>
  <si>
    <t>978-5-16-016730-5</t>
  </si>
  <si>
    <t>Рекомендовано в качестве учебного пособия для студентов, обучающихся по специальностям «Градостроительство», «Архитектура», «Городское строительство», «Городское и региональное планирование», «Государственное и муниципальное управление»</t>
  </si>
  <si>
    <t>0224</t>
  </si>
  <si>
    <t>635944.05.01</t>
  </si>
  <si>
    <t>Грамматика англ. яз. = 5D English Grammar in Charts... /Л.М.Гальчук-М.:Вуз.уч.,НИЦ ИНФРА-М,2024-439с.(О)</t>
  </si>
  <si>
    <t>ГРАММАТИКА АНГЛИЙСКОГО ЯЗЫКА: КОММУНИКАТИВНЫЙ КУРС = 5D ENGLISH GRAMMAR IN CHARTS, EXERCISES, FILM-BASED TASKS,TEXTS AND TESTS</t>
  </si>
  <si>
    <t>978-5-9558-0520-7</t>
  </si>
  <si>
    <t>412300.07.01</t>
  </si>
  <si>
    <t>Грамматика для делового общ.на англ.яз:Уч.пос./З.В.Маньковская-М.:НИЦ ИНФРА-М,2023-140(ВО)(о)</t>
  </si>
  <si>
    <t>ГРАММАТИКА ДЛЯ ДЕЛОВОГО ОБЩЕНИЯ НА АНГЛИЙСКОМ ЯЗЫКЕ (МОДУЛЬНО-КОМПЕТЕНТНОСТНЫЙ ПОДХОД)</t>
  </si>
  <si>
    <t>978-5-16-005484-1</t>
  </si>
  <si>
    <t>00.03.02, 00.05.02, 38.03.01, 38.03.02, 38.03.03, 38.03.04, 38.03.05, 38.03.06, 38.03.07, 38.04.01, 38.04.02, 38.04.03, 38.04.04, 38.04.05, 38.04.06, 38.04.07, 38.04.08, 38.04.09, 38.05.01, 38.05.02, 44.03.01, 45.05.01</t>
  </si>
  <si>
    <t>397900.11.01</t>
  </si>
  <si>
    <t>Графический дизайн: стилевая эволюция: Моногр. / И.Г.Пендикова - М.:Магистр,НИЦ ИНФРА-М,2024 - 160 с.(О)</t>
  </si>
  <si>
    <t>ГРАФИЧЕСКИЙ ДИЗАЙН: СТИЛЕВАЯ ЭВОЛЮЦИЯ</t>
  </si>
  <si>
    <t>Пендикова И.Г.</t>
  </si>
  <si>
    <t>978-5-9776-0373-7</t>
  </si>
  <si>
    <t>42.04.01, 54.04.01</t>
  </si>
  <si>
    <t>Омский государственный технический университет</t>
  </si>
  <si>
    <t>187350.04.01</t>
  </si>
  <si>
    <t>Дао и телос в смысл. измер.культур вост.и запад. типа: Моногр. /С.Е.Ячин-М.:НИЦ ИНФРА-М,2017-324с(о)</t>
  </si>
  <si>
    <t>ДАО И ТЕЛОС В СМЫСЛОВОМ ИЗМЕРЕНИИ КУЛЬТУР ВОСТОЧНОГО И ЗАПАДНОГО ТИПА</t>
  </si>
  <si>
    <t>Ячин С. Е., Конончук Д. В., Поповкин А. В., Буланенко М. Е.</t>
  </si>
  <si>
    <t>978-5-16-006010-1</t>
  </si>
  <si>
    <t>41.03.06, 44.03.05, 47.03.01, 47.04.01, 51.03.01, 51.04.01</t>
  </si>
  <si>
    <t>774992.02.01</t>
  </si>
  <si>
    <t>Девиантология - социология и психология зла: Моногр. / Т.А.Хагуров-М.:НИЦ ИНФРА-М,2024.-412 с.(о)</t>
  </si>
  <si>
    <t>ДЕВИАНТОЛОГИЯ - СОЦИОЛОГИЯ И ПСИХОЛОГИЯ ЗЛА</t>
  </si>
  <si>
    <t>Хагуров Т.А.</t>
  </si>
  <si>
    <t>978-5-16-017699-4</t>
  </si>
  <si>
    <t>37.03.01, 37.04.01, 37.05.01, 37.06.01, 39.03.01, 39.04.01, 39.04.02, 40.04.01, 40.06.01, 44.04.02, 44.05.01, 44.06.01, 44.07.02, 47.04.02, 47.06.01, 47.07.01</t>
  </si>
  <si>
    <t>Кубанский государственный университет</t>
  </si>
  <si>
    <t>086170.16.01</t>
  </si>
  <si>
    <t>Декоративно-прикладное искусство: Уч.пос. / В.Н.Молотова - 3 изд.-М.:Форум,НИЦ ИНФРА-М,2024-288с.(П)</t>
  </si>
  <si>
    <t>ДЕКОРАТИВНО-ПРИКЛАДНОЕ ИСКУССТВО, ИЗД.3</t>
  </si>
  <si>
    <t>Молотова В. Н.</t>
  </si>
  <si>
    <t>978-5-00091-402-1</t>
  </si>
  <si>
    <t>54.01.20, 54.02.02</t>
  </si>
  <si>
    <t>Допущено Министерством образования и науки Российской Федерации в качестве учебного пособия для студентов образовательных учреждений среднего профессионального образования</t>
  </si>
  <si>
    <t>252800.08.01</t>
  </si>
  <si>
    <t>Деловой английский язык: ускоренный курс: Уч.пос. / З.В.Маньковская-М.:НИЦ ИНФРА-М,2024.-160с(ВО)(п)</t>
  </si>
  <si>
    <t>ДЕЛОВОЙ АНГЛИЙСКИЙ ЯЗЫК: УСКОРЕННЫЙ КУРС</t>
  </si>
  <si>
    <t>978-5-16-019169-0</t>
  </si>
  <si>
    <t>Рекомендовано Советом Учебно-методического объединения по образованию в области менеджмента в качестве учебного пособия для студентов высших учебных заведений, обучающихся по направлению подготовки 38.03.02 «Менеджмент» (квалификация (степень) «бакалавр»)</t>
  </si>
  <si>
    <t>286500.08.01</t>
  </si>
  <si>
    <t>Деловой китайский: Уч. пос. / Ю.Г.Романова - М.:НИЦ ИНФРА-М,2023.-165 с.-(ВО)(о)</t>
  </si>
  <si>
    <t>ДЕЛОВОЙ КИТАЙСКИЙ</t>
  </si>
  <si>
    <t>Романова Ю.Г.</t>
  </si>
  <si>
    <t>978-5-16-018592-7</t>
  </si>
  <si>
    <t>38.03.01, 38.04.01, 45.03.02, 45.04.02</t>
  </si>
  <si>
    <t>Рекомендовано УМО вузов России по образованию в области финансов, учета и мировой экономики в качестве учебного пособия для студентов, обучающихся по направлению 38.03.01 «Экономика» (уровень бакалавриата)</t>
  </si>
  <si>
    <t>108150.06.01</t>
  </si>
  <si>
    <t>Деловой французский: Уч. пос. /Б.И. Герасимов.-Форум, 2024.-176с. (п)</t>
  </si>
  <si>
    <t>LE FRANCAIS DES AFFAIRES: ДЕЛОВОЙ ФРАНЦУЗСКИЙ</t>
  </si>
  <si>
    <t>Герасимов Б. И., Волостных И. А., Гуляева Е. А., Бородулина Н. Ю.</t>
  </si>
  <si>
    <t>978-5-91134-326-2</t>
  </si>
  <si>
    <t>08.02.14, 43.02.16</t>
  </si>
  <si>
    <t>Рекомендовано Учебно-методическим советом УМЦ по профессиональному образованию Департамента образования города Москвы в качестве учебного пособия для студентов образ. учрежд. среднего профессионального образования</t>
  </si>
  <si>
    <t>665060.06.01</t>
  </si>
  <si>
    <t>Деловые игры: теория и организация: Уч.мет.пос. / Г.С.Абрамова - 2 изд.-М.:НИЦ ИНФРА-М,2022-189 с.(ВО)(П)</t>
  </si>
  <si>
    <t>ДЕЛОВЫЕ ИГРЫ: ТЕОРИЯ И ОРГАНИЗАЦИЯ, ИЗД.2</t>
  </si>
  <si>
    <t>Абрамова Г.С., Степанович В.А.</t>
  </si>
  <si>
    <t>978-5-16-013580-9</t>
  </si>
  <si>
    <t>Учебно-методическое пособие</t>
  </si>
  <si>
    <t>37.03.01, 37.03.02, 37.05.02, 44.03.01, 44.03.02, 44.03.03, 44.03.04, 44.03.05, 44.04.01, 44.04.02, 44.05.01</t>
  </si>
  <si>
    <t>Рекомендовано в качестве учебного пособия для студентов высших учебных заведений, обучающихся по направлениям подготовки 44.03.01 «Педагогическое образование», 44.03.02 «Психолого-педагогическое образование», 44.03.04 «Профессиональное обучение» (квалификация (степень) «бакалавр»)</t>
  </si>
  <si>
    <t>Брестский государственный университет имени А.С.Пушкина</t>
  </si>
  <si>
    <t>714112.05.01</t>
  </si>
  <si>
    <t>Демократия: опыт критического анализа: Моногр. / А.Д.Керимов - М.:Юр.Норма, НИЦ ИНФРА-М,2023 - 184 с.(П)</t>
  </si>
  <si>
    <t>ДЕМОКРАТИЯ: ОПЫТ КРИТИЧЕСКОГО АНАЛИЗА</t>
  </si>
  <si>
    <t>Керимов А.Д.</t>
  </si>
  <si>
    <t>978-5-00156-005-0</t>
  </si>
  <si>
    <t>40.04.01, 41.03.04, 41.03.06, 41.04.04, 41.04.05</t>
  </si>
  <si>
    <t>300800.10.01</t>
  </si>
  <si>
    <t>Дети и телевидение: история психол.исслед...: Моногр. / О.И.Маховская-М.:НИЦ ИНФРА-М,2023.-172с-(О)</t>
  </si>
  <si>
    <t>ДЕТИ И ТЕЛЕВИДЕНИЕ: ИСТОРИЯ ПСИХОЛОГИЧЕСКИХ ИССЛЕДОВАНИЙ И ЭКСПЕРТИЗЫ ТЕЛЕПРОГРАММ ДЛЯ ДЕТЕЙ</t>
  </si>
  <si>
    <t>Маховская О.И., Марченко Ф.О.</t>
  </si>
  <si>
    <t>978-5-16-010167-5</t>
  </si>
  <si>
    <t>Институт психологии Российской академии наук</t>
  </si>
  <si>
    <t>733351.05.01</t>
  </si>
  <si>
    <t>Детская литература: Уч. / Г.М.Первова - М.:НИЦ ИНФРА-М,2024 - 190 с.-(СПО)(П)</t>
  </si>
  <si>
    <t>ДЕТСКАЯ ЛИТЕРАТУРА</t>
  </si>
  <si>
    <t>Первова Г.М.</t>
  </si>
  <si>
    <t>978-5-16-016136-5</t>
  </si>
  <si>
    <t>44.02.02</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</si>
  <si>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укрупненной группе специальностей 44.02.00 «Образование и педагогические науки» (протокол № 8 от 22.06.2020)</t>
  </si>
  <si>
    <t>Тамбовский государственный университет им. Г.Р. Державина</t>
  </si>
  <si>
    <t>056800.11.01</t>
  </si>
  <si>
    <t>Детская психология с элементами психофизиол.: Уч. пос. / В.Г. Каменская - М.:Форум:ИНФРА-М,2023-288с.(ВО)(О)</t>
  </si>
  <si>
    <t>ДЕТСКАЯ ПСИХОЛОГИЯ С ЭЛЕМЕНТАМИ ПСИХОФИЗИОЛОГИИ, ИЗД.2</t>
  </si>
  <si>
    <t>Каменская В.Г.</t>
  </si>
  <si>
    <t>978-5-91134-482-5</t>
  </si>
  <si>
    <t>37.03.01, 44.03.01, 44.03.02, 44.03.03, 44.03.04, 44.03.05</t>
  </si>
  <si>
    <t>Допущено УМО по направления педагогического образования Министерства образования и науки РФ в качестве учебного пособия для студентов высших педагогических учебных заведений, обучающихся по направлению 540600 (050600) педагогика</t>
  </si>
  <si>
    <t>0211</t>
  </si>
  <si>
    <t>669692.04.01</t>
  </si>
  <si>
    <t>Детская психология: Уч. / Г.А.Урунтаева - 11 изд. - М.:НИЦ ИНФРА-М,2024 - 372 с.-(СПО)(П)</t>
  </si>
  <si>
    <t>ДЕТСКАЯ ПСИХОЛОГИЯ, ИЗД.11</t>
  </si>
  <si>
    <t>Урунтаева Г.А.</t>
  </si>
  <si>
    <t>978-5-16-015972-0</t>
  </si>
  <si>
    <t>44.02.01, 44.02.02, 44.02.03, 44.02.04, 44.02.05, 44.02.06</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</si>
  <si>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педагогическим и психологическим специальностям (протокол № 10 от 12.10.2020)</t>
  </si>
  <si>
    <t>Институт изучения детства, семьи и воспитания Российской академии образования</t>
  </si>
  <si>
    <t>1121</t>
  </si>
  <si>
    <t>669686.04.01</t>
  </si>
  <si>
    <t>Детская психология: Уч. / Г.А.Урунтаева - 4 изд. - М.:НИЦ ИНФРА-М,2024 - 384 с.(ВО: Бакалавриат)(П)</t>
  </si>
  <si>
    <t>ДЕТСКАЯ ПСИХОЛОГИЯ, ИЗД.4</t>
  </si>
  <si>
    <t>978-5-16-019115-7</t>
  </si>
  <si>
    <t>44.03.01, 44.03.05</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</si>
  <si>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44.03.01 «Педагогическое образование» (квалификация (степень) «бакалавр») (протокол № 6 от 06.04.2020)</t>
  </si>
  <si>
    <t>0420</t>
  </si>
  <si>
    <t>814125.01.01</t>
  </si>
  <si>
    <t>Диалектическая методология построения теории в совр/// / В.И.Столяров-М.:НИЦ ИНФРА-М,2024.-482 с.(п)</t>
  </si>
  <si>
    <t>ДИАЛЕКТИЧЕСКАЯ МЕТОДОЛОГИЯ ПОСТРОЕНИЯ ТЕОРИИ В СОВРЕМЕННОМ НАУЧНОМ ПОЗНАНИИ</t>
  </si>
  <si>
    <t>Столяров В.И.</t>
  </si>
  <si>
    <t>978-5-16-019233-8</t>
  </si>
  <si>
    <t>00.04.16, 00.05.16, 47.04.01, 47.06.01</t>
  </si>
  <si>
    <t>Российский университет спорта «ГЦОЛИФК»</t>
  </si>
  <si>
    <t>735076.01.01</t>
  </si>
  <si>
    <t>Диалектический материализм: взаимосвязь категорий...: Моногр. / А.Т.Свергузов-М.:НИЦ ИНФРА-М,2022.-204 с.(О)</t>
  </si>
  <si>
    <t>ДИАЛЕКТИЧЕСКИЙ МАТЕРИАЛИЗМ: ВЗАИМОСВЯЗЬ КАТЕГОРИЙ «МАТЕРИЯ» И «НЕБЫТИЕ»</t>
  </si>
  <si>
    <t>Свергузов А.Т.</t>
  </si>
  <si>
    <t>978-5-16-016306-2</t>
  </si>
  <si>
    <t>00.03.11, 00.05.11, 47.04.01, 47.06.01</t>
  </si>
  <si>
    <t>Казанский национальный исследовательский технологический университет</t>
  </si>
  <si>
    <t>182050.05.01</t>
  </si>
  <si>
    <t>Диалектология словацкого языка: Уч.пос. / К.В.Лифанов - М.:НИЦ ИНФРА-М,2023 - 86с.(ВО)(о)</t>
  </si>
  <si>
    <t>ДИАЛЕКТОЛОГИЯ СЛОВАЦКОГО ЯЗЫКА</t>
  </si>
  <si>
    <t>Лифанов К.В.</t>
  </si>
  <si>
    <t>978-5-16-009884-5</t>
  </si>
  <si>
    <t>45.03.01, 45.03.02, 45.03.03</t>
  </si>
  <si>
    <t>439700.03.01</t>
  </si>
  <si>
    <t>Диктат иллюзий: Монография / С.В.Борзых - М.: НИЦ ИНФРА-М, 2023 - 119 с. -(Научная мысль) (О)</t>
  </si>
  <si>
    <t>ДИКТАТ ИЛЛЮЗИЙ</t>
  </si>
  <si>
    <t>978-5-16-011363-0</t>
  </si>
  <si>
    <t>47.03.01, 47.04.01</t>
  </si>
  <si>
    <t>750180.03.01</t>
  </si>
  <si>
    <t>Династия купцов Сибиряковых и ее роль в развитии Вост. Сибири в XVIII... / А.С.Дикун-М.:НИЦ ИНФРА-М,2024-165с.(О)</t>
  </si>
  <si>
    <t>ДИНАСТИЯ КУПЦОВ СИБИРЯКОВЫХ И ЕЕ РОЛЬ В РАЗВИТИИ ВОСТОЧНОЙ СИБИРИ В XVIII - НАЧАЛЕ XX ВЕКА</t>
  </si>
  <si>
    <t>Дикун А.С.</t>
  </si>
  <si>
    <t>978-5-16-016750-3</t>
  </si>
  <si>
    <t>Иркутский государственный университет</t>
  </si>
  <si>
    <t>124100.11.01</t>
  </si>
  <si>
    <t>Дипломатическая служба: Уч. пос. / В.В.Самойленко, - 2 изд.-М.:Юр. НОРМА, НИЦ ИНФРА-М,2024.-336 с.(п)</t>
  </si>
  <si>
    <t>ДИПЛОМАТИЧЕСКАЯ СЛУЖБА, ИЗД.2</t>
  </si>
  <si>
    <t>Самойленко В.В.</t>
  </si>
  <si>
    <t>978-5-91768-531-1</t>
  </si>
  <si>
    <t>Дипломатическая академия Министерства иностранных дел Российской Федерации</t>
  </si>
  <si>
    <t>705497.03.01</t>
  </si>
  <si>
    <t>Дискурсивное исслед. православ. религиозной идентич.: Моногр./ И.А.Юрасов-М.:НИЦ ИНФРА-М,2024-195с.(о)</t>
  </si>
  <si>
    <t>ДИСКУРСИВНОЕ ИССЛЕДОВАНИЕ ПРАВОСЛАВНОЙ РЕЛИГИОЗНОЙ ИДЕНТИЧНОСТИ</t>
  </si>
  <si>
    <t>Юрасов И.А., Павлова О.А.</t>
  </si>
  <si>
    <t>978-5-16-015265-3</t>
  </si>
  <si>
    <t>Религия. Теология</t>
  </si>
  <si>
    <t>47.03.01, 47.04.03, 47.06.01, 48.03.01, 48.04.01, 48.06.01</t>
  </si>
  <si>
    <t>Финансовый университет при Правительстве Российской Федерации, Пензенский ф-л</t>
  </si>
  <si>
    <t>413100.09.01</t>
  </si>
  <si>
    <t>Диссидентство в СССР: ист.-прав. аспекты (1950-1980-е гг.): Уч.пос. / Л.А.Королева-М.:НИЦ ИНФРА-М,2024.-276 с.(О)</t>
  </si>
  <si>
    <t>ДИССИДЕНТСТВО В СССР: ИСТОРИКО-ПРАВОВЫЕ АСПЕКТЫ (1950-1980-Е ГГ.)</t>
  </si>
  <si>
    <t>Королева Л.А., Королев А.А.</t>
  </si>
  <si>
    <t>978-5-16-016030-6</t>
  </si>
  <si>
    <t>40.03.01, 44.03.01, 44.03.05, 46.03.01, 46.04.01</t>
  </si>
  <si>
    <t>Рекомендовано в качестве учебного пособия для студентов высших учебных заведений, обучающихся по направлению подготовки 46.04.01 «История» (квалификация (степень) «магистр»)</t>
  </si>
  <si>
    <t>Пензенский государственный университет архитектуры и строительства</t>
  </si>
  <si>
    <t>159350.09.01</t>
  </si>
  <si>
    <t>Дифференциальная психология. Модул. курс: Уч.пос. / Б.Р.Мандель -М.: Вуз.уч., НИЦ ИНФРА-М, 2024 -315с (п)</t>
  </si>
  <si>
    <t>ДИФФЕРЕНЦИАЛЬНАЯ ПСИХОЛОГИЯ. МОДУЛЬНЫЙ КУРС</t>
  </si>
  <si>
    <t>978-5-9558-0205-3</t>
  </si>
  <si>
    <t>253100.10.01</t>
  </si>
  <si>
    <t>Дифференциальная психология: Уч. / Т.Ф.Базылевич - М.:НИЦ ИНФРА-М,2024.-224 с..-(ВО: Бакалавриат)</t>
  </si>
  <si>
    <t>ДИФФЕРЕНЦИАЛЬНАЯ ПСИХОЛОГИЯ</t>
  </si>
  <si>
    <t>Базылевич Т.Ф.</t>
  </si>
  <si>
    <t>978-5-16-009399-4</t>
  </si>
  <si>
    <t>Московский государственный университет технологий и управления им. К.Г. Разумовского</t>
  </si>
  <si>
    <t>424500.07.01</t>
  </si>
  <si>
    <t>Дифференциальная психофизиология и психология: Моногр./Т.Ф.Базылевич - НИЦ ИНФРА-М,2022-340(Науч.мысль)</t>
  </si>
  <si>
    <t>ДИФФЕРЕНЦИАЛЬНАЯ ПСИХОФИЗИОЛОГИЯ И ПСИХОЛОГИЯ: КЛЮЧЕВЫЕ ИДЕИ</t>
  </si>
  <si>
    <t>Базылевич Т. Ф.</t>
  </si>
  <si>
    <t>978-5-16-010332-7</t>
  </si>
  <si>
    <t>37.03.01, 37.04.01, 44.03.01, 44.03.05</t>
  </si>
  <si>
    <t>332300.03.01</t>
  </si>
  <si>
    <t>Доверие в саморегул.соц.взаимоотношений..:Моногр. / В.И.Чупров-М.:Юр.Норма,НИЦ ИНФРА-М,2023-160с.(о)</t>
  </si>
  <si>
    <t>ДОВЕРИЕ В САМОРЕГУЛЯЦИИ СОЦИАЛЬНЫХ ВЗАИМООТНОШЕНИЙ В УСЛОВИЯХ НЕОПРЕДЕЛЕННОСТИ. ПОЧЕМУ НЕТ МИРА В УКРАИНЕ?</t>
  </si>
  <si>
    <t>Чупров В. И., Михеева В. В.</t>
  </si>
  <si>
    <t>978-5-91768-587-8</t>
  </si>
  <si>
    <t>38.03.04, 38.04.04, 39.03.01, 39.03.02, 39.04.01, 40.03.01, 40.04.01, 40.05.01, 41.03.01, 41.03.04, 41.03.05, 41.04.01, 41.04.04, 41.04.05, 44.03.01, 44.03.05</t>
  </si>
  <si>
    <t>Институт социально-политических исследований Российской академии наук</t>
  </si>
  <si>
    <t>701648.01.01</t>
  </si>
  <si>
    <t>Доверие в саморегуляции изменяющейся соц. реальности: Моногр./ В.И.Чупров-М.:Юр.Норма,2019-208с(П)</t>
  </si>
  <si>
    <t>ДОВЕРИЕ В САМОРЕГУЛЯЦИИ ИЗМЕНЯЮЩЕЙСЯ СОЦИАЛЬНОЙ РЕАЛЬНОСТИ</t>
  </si>
  <si>
    <t>Чупров В.И., Зубок Ю.А., Романович Н.А.</t>
  </si>
  <si>
    <t>978-5-91768-995-1</t>
  </si>
  <si>
    <t>39.03.01, 39.04.01, 40.03.01, 40.04.01</t>
  </si>
  <si>
    <t>313700.08.01</t>
  </si>
  <si>
    <t>Докторская диссертация: успешно, эффект.и с удовольств. / С.Влади - М.:Магистр,НИЦ ИНФРА-М,2024 - 128с.(О)</t>
  </si>
  <si>
    <t>ДОКТОРСКАЯ ДИССЕРТАЦИЯ: УСПЕШНО, ЭФФЕКТИВНО И С УДОВОЛЬСТВИЕМ</t>
  </si>
  <si>
    <t>Влади С.</t>
  </si>
  <si>
    <t>978-5-9776-0339-3</t>
  </si>
  <si>
    <t>Практическое пособие</t>
  </si>
  <si>
    <t>Профессиональное образование / ВО - Кадры высшей квалификации</t>
  </si>
  <si>
    <t>37.06.01, 38.06.01, 39.06.01, 40.06.01</t>
  </si>
  <si>
    <t>Мельбурнский университет</t>
  </si>
  <si>
    <t>632783.04.01</t>
  </si>
  <si>
    <t>Древнегреческая драма классич. периода: Уч.пос. / Б.А.Гиленсон-2 изд.-М.:НИЦ ИНФРА-М,2023-208с(ВО)(П)</t>
  </si>
  <si>
    <t>ДРЕВНЕГРЕЧЕСКАЯ ДРАМА КЛАССИЧЕСКОГО ПЕРИОДА, ИЗД.2</t>
  </si>
  <si>
    <t>978-5-16-012027-0</t>
  </si>
  <si>
    <t>41.03.06, 42.03.02, 42.03.03, 42.03.04, 44.03.01, 44.03.02, 44.03.04, 44.03.05, 45.03.01, 52.03.04, 52.03.05</t>
  </si>
  <si>
    <t>Рекомендовано в качестве учебного пособия для студентов высших учебных заведений, обучающихся по направлениям подготовки 44.03.01 «Педагогическое образование», 44.03.02 «Психолого-педагогическое образование», 44.03.05 «Педагогическое образование (с двумя профилями подготовки)» (квалификация (степень) «бакалавр»)</t>
  </si>
  <si>
    <t>433250.06.01</t>
  </si>
  <si>
    <t>Древнегреческая метафизика: генезис...: Моногр. / С.А.Нижников-М.:НИЦ ИНФРА-М,2022.-216 с.(Науч.мысль)(О)</t>
  </si>
  <si>
    <t>ДРЕВНЕГРЕЧЕСКАЯ МЕТАФИЗИКА: ГЕНЕЗИС И КЛАССИКА</t>
  </si>
  <si>
    <t>Нижников С.А., Семушкин А.В.</t>
  </si>
  <si>
    <t>978-5-16-006679-0</t>
  </si>
  <si>
    <t>40.03.01, 44.03.01, 44.03.05, 47.03.01, 47.03.02, 47.03.03, 47.04.01, 47.04.02, 47.04.03</t>
  </si>
  <si>
    <t>694850.04.01</t>
  </si>
  <si>
    <t>Древнерусское искусство: Уч. / В.Д.Черный - М.:Вуз. уч., НИЦ ИНФРА-М,2023 - 661 с.-(СПО)(П)</t>
  </si>
  <si>
    <t>ДРЕВНЕРУССКОЕ ИСКУССТВО</t>
  </si>
  <si>
    <t>Черный В.Д.</t>
  </si>
  <si>
    <t>978-5-9558-0629-7</t>
  </si>
  <si>
    <t>50.02.01, 51.02.01, 51.02.02, 51.02.03</t>
  </si>
  <si>
    <t>Рекомендовано Учебно-методическим советом СПО в качестве учебника для студентов учебных заведений, реализующих программу среднего профессионального образования по специальностям 50.02.01 «Мировая художественная культура», 51.02.01 «Народное художественное творчество (по видам)», 51.02.02 «Социально-культурная деятельность (по видам)», 51.02.03 «Библиотековедение»</t>
  </si>
  <si>
    <t>660659.03.01</t>
  </si>
  <si>
    <t>Древнерусское искусство: Уч. / В.Д.Черный - М.:Вуз.уч., НИЦ ИНФРА-М,2019-656 с.-(ВО: Бакалавриат)(П)</t>
  </si>
  <si>
    <t>978-5-9558-0588-7</t>
  </si>
  <si>
    <t>50.03.01, 50.03.02, 50.03.03, 50.03.04, 54.03.01, 54.03.02, 54.03.03</t>
  </si>
  <si>
    <t>Рекомендовано в качестве учебника для студентов высших учебных заведений, обучающихся по направлениям подготовки 51.03.01 «Культурология», 50.03.01 «Искусства и гуманитарные науки», 50.03.03 «История искусств» (квалификация (степень) «бакалавр»)</t>
  </si>
  <si>
    <t>644181.05.01</t>
  </si>
  <si>
    <t>Духовная культура горняков Европы и России..: Моногр. / А.А.Мурзин - М.:НИЦ ИНФРА-М,2024 - 100 с.(О)</t>
  </si>
  <si>
    <t>ДУХОВНАЯ КУЛЬТУРА ГОРНЯКОВ ЕВРОПЫ И РОССИИ: ВЕРОВАНИЯ  И ПРАЗДНИЧНО-ОБРЯДОВЫЕ ПРАКТИКИ (СРАВНИТЕЛЬНЫЙ АНАЛИЗ)</t>
  </si>
  <si>
    <t>Мурзин А.А.</t>
  </si>
  <si>
    <t>978-5-16-013863-3</t>
  </si>
  <si>
    <t>38.03.01, 44.03.05, 50.04.04, 51.03.01, 51.03.02, 51.04.04, 54.03.04</t>
  </si>
  <si>
    <t>Дачный эксперт</t>
  </si>
  <si>
    <t>433150.04.01</t>
  </si>
  <si>
    <t>Духовное познание и архетипы философ.культур Востока и Запада:Моногр. / А.В.Семушкин-М.:НИЦ ИНФРА-М,2021-231с</t>
  </si>
  <si>
    <t>ДУХОВНОЕ ПОЗНАНИЕ И АРХЕТИПЫ ФИЛОСОФСКИХ КУЛЬТУР ВОСТОКА И ЗАПАДА</t>
  </si>
  <si>
    <t>Семушкин А. В., Нижников С. А.</t>
  </si>
  <si>
    <t>978-5-16-006678-3</t>
  </si>
  <si>
    <t>704204.03.01</t>
  </si>
  <si>
    <t>Душа как реальность: Монография / Е.Ф.Казаков-М.:НИЦ ИНФРА-М,2024.-207 с..-(Науч.мысль)(О)</t>
  </si>
  <si>
    <t>ДУША КАК РЕАЛЬНОСТЬ</t>
  </si>
  <si>
    <t>978-5-16-014987-5</t>
  </si>
  <si>
    <t>47.04.01</t>
  </si>
  <si>
    <t>747701.03.01</t>
  </si>
  <si>
    <t>Душа русской культуры: Монография / Е.Ф.Казаков - М.:НИЦ ИНФРА-М,2024 - 167 с.-(Науч.мысль)(О)</t>
  </si>
  <si>
    <t>ДУША РУССКОЙ КУЛЬТУРЫ</t>
  </si>
  <si>
    <t>978-5-16-016729-9</t>
  </si>
  <si>
    <t>45.04.01, 45.04.04, 45.06.01</t>
  </si>
  <si>
    <t>306300.06.01</t>
  </si>
  <si>
    <t>Евразийство: избранное: Моногр. / Н.С.Трубецкой - М.:НИЦ ИНФРА-М,2023 - 358 с.(Евразийский путь)(П)</t>
  </si>
  <si>
    <t>ЕВРАЗИЙСТВО: ИЗБРАННОЕ</t>
  </si>
  <si>
    <t>Трубецкой Н.С.</t>
  </si>
  <si>
    <t>Евразийский путь</t>
  </si>
  <si>
    <t>978-5-16-010258-0</t>
  </si>
  <si>
    <t>40.03.01, 41.03.04, 41.03.05, 41.03.06, 41.04.04, 41.04.05, 44.03.01, 44.03.05</t>
  </si>
  <si>
    <t>Венский университет</t>
  </si>
  <si>
    <t>165600.05.01</t>
  </si>
  <si>
    <t>Единство в многообр. (путь развития англ. и...): Моногр./ Ж.Багана -ИНФРА-М, 2018-261с.(Науч. мысль)</t>
  </si>
  <si>
    <t>ЕДИНСТВО В МНОГООБРАЗИИ (ПУТЬ РАЗВИТИЯ АНГЛИЙСКОГО И НЕМЕЦКОГО ЯЗЫКОВ)</t>
  </si>
  <si>
    <t>Багана Ж., Бондаренко Е. В., Федорова И. А.</t>
  </si>
  <si>
    <t>978-5-16-005228-1</t>
  </si>
  <si>
    <t>185650.11.01</t>
  </si>
  <si>
    <t>Если подростку трудно учиться в школе... / Е.В.Свистунова - М.:Форум,2024 - 144 с.(О)</t>
  </si>
  <si>
    <t>ЕСЛИ ПОДРОСТКУ ТРУДНО УЧИТЬСЯ В ШКОЛЕ: ПЕДАГОГАМ И ЗАИНТЕРЕСОВАННЫМ РОДИТЕЛЯМ</t>
  </si>
  <si>
    <t>Свистунова Е. В., Демьянская М. Н., Мильке Е. А.</t>
  </si>
  <si>
    <t>978-5-91134-660-7</t>
  </si>
  <si>
    <t>44.03.01, 44.04.01, 44.06.01</t>
  </si>
  <si>
    <t>150750.08.01</t>
  </si>
  <si>
    <t>Если ситуация кажется неразрешимой... / В.К. Зарецкий. - 2 изд. - М.: Форум, 2024. - 64 с. (о)</t>
  </si>
  <si>
    <t>ЕСЛИ СИТУАЦИЯ КАЖЕТСЯ НЕРАЗРЕШИМОЙ..., ИЗД.2</t>
  </si>
  <si>
    <t>Зарецкий В. К.</t>
  </si>
  <si>
    <t>978-5-91134-502-0</t>
  </si>
  <si>
    <t>37.03.01, 37.03.02, 37.04.01, 37.04.02</t>
  </si>
  <si>
    <t>Московский государственный психолого-педагогический университет</t>
  </si>
  <si>
    <t>731838.01.01</t>
  </si>
  <si>
    <t>Жанры спортивного дискурса...: Монография / Н.Н.Кислицына-М.:НИЦ ИНФРА-М,2020.-205 с.(О)</t>
  </si>
  <si>
    <t>ЖАНРЫ СПОРТИВНОГО ДИСКУРСА: ЛИНГВОКОГНИТИВНЫЙ АСПЕКТ</t>
  </si>
  <si>
    <t>Кислицына Н.Н., Новикова Е.А.</t>
  </si>
  <si>
    <t>Научная мысль (КрымФУ)</t>
  </si>
  <si>
    <t>978-5-16-016017-7</t>
  </si>
  <si>
    <t>45.03.02, 45.04.02, 45.04.03, 45.04.04, 45.06.01</t>
  </si>
  <si>
    <t>693141.02.01</t>
  </si>
  <si>
    <t>Живая машина: Монография / С.В.Борзых - М.:НИЦ ИНФРА-М,2023.-157 с..-(Науч.мысль)(О)</t>
  </si>
  <si>
    <t>ЖИВАЯ МАШИНА</t>
  </si>
  <si>
    <t>978-5-16-014513-6</t>
  </si>
  <si>
    <t>795602.01.01</t>
  </si>
  <si>
    <t>Жизнь современных поколений: Монография / А.В.Микляева и др.-М.:НИЦ ИНФРА-М,2023.-218 с.(о)</t>
  </si>
  <si>
    <t>ЖИЗНЬ СОВРЕМЕННЫХ ПОКОЛЕНИЙ: СОЦИАЛЬНО-ПСИХОЛОГИЧЕСКИЕ ТЕНДЕНЦИИ</t>
  </si>
  <si>
    <t>Микляева А.В., Пищик В.И., Постникова М.И. и др.</t>
  </si>
  <si>
    <t>978-5-16-018118-9</t>
  </si>
  <si>
    <t>39.04.01, 39.04.03, 39.06.01, 47.04.01</t>
  </si>
  <si>
    <t>408350.11.01</t>
  </si>
  <si>
    <t>Журналистика и редактирование: Уч.пос. / Т.В.Гордиенко-М.:ИД Форум, НИЦ ИНФРА-М,2024.-176 с.(ВО)(п)</t>
  </si>
  <si>
    <t>ЖУРНАЛИСТИКА И РЕДАКТИРОВАНИЕ</t>
  </si>
  <si>
    <t>Гордиенко Т.В.</t>
  </si>
  <si>
    <t>ИД Форум</t>
  </si>
  <si>
    <t>978-5-8199-0953-9</t>
  </si>
  <si>
    <t>41.03.06, 42.03.02, 42.03.03, 42.04.03, 43.03.01, 43.03.02, 43.04.01, 43.04.02</t>
  </si>
  <si>
    <t>Рекомендовано УМО учебных заведений Российской Федерации по образованию в области сервиса и туризма в качестве учебного пособия для студентов высших учебных заведений, обучающихся по направлению подготовки 43.03.01 «Сервис»</t>
  </si>
  <si>
    <t>Российский государственный университет туризма и сервиса</t>
  </si>
  <si>
    <t>787444.01.01</t>
  </si>
  <si>
    <t>Завоевание Земли: Моногр. / С.В.Борзых-М.:НИЦ ИНФРА-М,2023.-347 с.(Науч.мысль)(П)</t>
  </si>
  <si>
    <t>ЗАВОЕВАНИЕ ЗЕМЛИ</t>
  </si>
  <si>
    <t>978-5-16-017933-9</t>
  </si>
  <si>
    <t>47.04.01, 47.06.01</t>
  </si>
  <si>
    <t>659191.04.01</t>
  </si>
  <si>
    <t>Загадки страны «Ок». Романские церкви Окситании X-XIII в.:Моногр. / И.И.Орлов-М:НИЦ ИНФРА-М,2023-216с</t>
  </si>
  <si>
    <t>ЗАГАДКИ СТРАНЫ «ОК». РОМАНСКИЕ ЦЕРКВИ ОКСИТАНИИ X - XIII ВЕКОВ</t>
  </si>
  <si>
    <t>Орлов И.И.</t>
  </si>
  <si>
    <t>978-5-16-018155-4</t>
  </si>
  <si>
    <t>07.03.01, 50.03.03, 51.03.01</t>
  </si>
  <si>
    <t>Липецкий Государственный Технический Университет</t>
  </si>
  <si>
    <t>333600.06.01</t>
  </si>
  <si>
    <t>Западная социология XX века: Уч.пос. / В.В.Афанасьев - М.:НИЦ ИНФРА-М,2023-285с.(ВО: Бакалавр.)(О)</t>
  </si>
  <si>
    <t>ЗАПАДНАЯ СОЦИОЛОГИЯ XX ВЕКА</t>
  </si>
  <si>
    <t>Афанасьев В.В.</t>
  </si>
  <si>
    <t>978-5-16-010646-5</t>
  </si>
  <si>
    <t>08.05.01, 39.03.01, 39.04.01, 41.03.06, 44.03.01, 44.03.05</t>
  </si>
  <si>
    <t>Рекомендовано в качестве учебного пособия для студентов высших учебных заведений, обучающихся по направлению подготовки 39.03.01 «Социология» (квалификация (степень) «бакалавр»)</t>
  </si>
  <si>
    <t>666449.07.01</t>
  </si>
  <si>
    <t>Зарубежные СМИ сегодня: крупнейшие корпорации...: Уч.пос. / Ю.В.Маркина - М.:НИЦ ИНФРА-М,2024-263 с.-(ВО)(П)</t>
  </si>
  <si>
    <t>ЗАРУБЕЖНЫЕ СМИ СЕГОДНЯ: КРУПНЕЙШИЕ КОРПОРАЦИИ И МОНОПОЛИСТИЧЕСКИЕ ОБЪЕДИНЕНИЯ</t>
  </si>
  <si>
    <t>Маркина Ю.В., Хорольский В.В.</t>
  </si>
  <si>
    <t>978-5-16-019924-5</t>
  </si>
  <si>
    <t>41.03.04, 42.03.01, 42.03.02, 42.03.04</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</si>
  <si>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42.03.02 «Журналистика», 41.03.04 «Политология», 42.03.01 «Реклама и связи с общественностью» (квалификация (степень) «бакалавр») (протокол №14 от 30.09.2019)</t>
  </si>
  <si>
    <t>Ростовский государственный университет путей сообщения, ф-л в г. Туапсе</t>
  </si>
  <si>
    <t>646245.04.01</t>
  </si>
  <si>
    <t>Защита прав человека в политике гос.: срав..: Уч.пос. / В.М.Капицын -М.:НИЦ ИНФРА-М,2024-398с(ВО)(п)</t>
  </si>
  <si>
    <t>ЗАЩИТА ПРАВ ЧЕЛОВЕКА В ПОЛИТИКЕ ГОСУДАРСТВ: СРАВНИТЕЛЬНЫЙ АНАЛИЗ</t>
  </si>
  <si>
    <t>Капицын В.М.</t>
  </si>
  <si>
    <t>978-5-16-019461-5</t>
  </si>
  <si>
    <t>41.03.04, 41.03.06, 44.03.05</t>
  </si>
  <si>
    <t>Рекомендовано в качестве учебного пособия для студентов высших учебных заведений, обучающихся по направлениям подготовки 40.03.01 «Юриспруденция», 41.03.04 «Политология», 41.03.05 «Международные отношения» (квалификация (степень) «бакалавр»)</t>
  </si>
  <si>
    <t>Московский государственный университет им. М.В. Ломоносова, факультет государственного управления</t>
  </si>
  <si>
    <t>235100.03.01</t>
  </si>
  <si>
    <t>Здоровье студентов: социологический анализ: Моногр./Отв. ред. И.В.Журавлева -М:ИНФРА-М,2017-272с.(о)</t>
  </si>
  <si>
    <t>ЗДОРОВЬЕ СТУДЕНТОВ: СОЦИОЛОГИЧЕСКИЙ АНАЛИЗ</t>
  </si>
  <si>
    <t>Журавлева И.В.</t>
  </si>
  <si>
    <t>978-5-16-009142-6</t>
  </si>
  <si>
    <t>32.04.01, 32.05.01, 39.03.01, 39.03.03, 39.04.01</t>
  </si>
  <si>
    <t>Институт социологии Российской академии наук</t>
  </si>
  <si>
    <t>757770.02.01</t>
  </si>
  <si>
    <t>Зло: опыт философского исслед.: Моногр. / П.А.Горохов - М.:НИЦ ИНФРА-М,2024 - 240 с.(Науч.мысль)(О)</t>
  </si>
  <si>
    <t>ЗЛО: ОПЫТ ФИЛОСОФСКОГО ИССЛЕДОВАНИЯ</t>
  </si>
  <si>
    <t>978-5-16-017198-2</t>
  </si>
  <si>
    <t>143500.06.01</t>
  </si>
  <si>
    <t>Знакомьтесь: М.Е. Салтыков-Щедрин / Авт.-сост. П.П.Барашев - М.:ИНФРА-М Изд.Дом,2023 - 378 с.(П)</t>
  </si>
  <si>
    <t>ЗНАКОМЬТЕСЬ: М.Е. САЛТЫКОВ-ЩЕДРИН</t>
  </si>
  <si>
    <t>Барашев П. П., Демина Е. П., Прончев Г. Б.</t>
  </si>
  <si>
    <t>978-5-16-004202-2</t>
  </si>
  <si>
    <t>44.03.01, 45.03.01, 45.04.01, 46.03.01</t>
  </si>
  <si>
    <t>777630.01.01</t>
  </si>
  <si>
    <t>Золотой век американской журналистики: Моногр. / Т.В.Алентьева-М.:НИЦ ИНФРА-М,2023.-358 с.(Науч.мысль)(О)</t>
  </si>
  <si>
    <t>ЗОЛОТОЙ ВЕК АМЕРИКАНСКОЙ ЖУРНАЛИСТИКИ</t>
  </si>
  <si>
    <t>Алентьева Т.В.</t>
  </si>
  <si>
    <t>978-5-16-017701-4</t>
  </si>
  <si>
    <t>39.04.01, 39.06.01, 41.04.02, 41.06.01, 41.07.01, 42.04.02, 42.06.01, 45.04.01, 45.06.01, 46.04.01, 46.06.01, 56.05.05</t>
  </si>
  <si>
    <t>Курский государственный университет</t>
  </si>
  <si>
    <t>633908.06.01</t>
  </si>
  <si>
    <t>Зоопсихология и сравнит.психология...: Уч.пос. / С.Н.Козловская - 2изд.-М.:НИЦ ИНФРА-М,2023-154с.(О)</t>
  </si>
  <si>
    <t>ЗООПСИХОЛОГИЯ И СРАВНИТЕЛЬНАЯ ПСИХОЛОГИЯ. ПРАКТИКУМ, ИЗД.2</t>
  </si>
  <si>
    <t>Козловская С.Н.</t>
  </si>
  <si>
    <t>978-5-16-010406-5</t>
  </si>
  <si>
    <t>Рекомендовано в качестве учебного пособия для студентов высших учебных заведений, обучающихся по направлению подготовки 37.03.01 «Психология» (квалификация (степень) «бакалавр»)</t>
  </si>
  <si>
    <t>Российский государственный социальный университет</t>
  </si>
  <si>
    <t>0217</t>
  </si>
  <si>
    <t>091050.14.01</t>
  </si>
  <si>
    <t>Игра - ключ к душе ребенка. В чьих руках..: Метод.пос. / Г.И.Репринцева - 2 изд.-М.:Форум,ИНФРА-М,2023-319с.(О)</t>
  </si>
  <si>
    <t>ИГРА - КЛЮЧ К ДУШЕ РЕБЕНКА. В ЧЬИХ РУКАХ ОКАЖЕТСЯ ЭТО ВОЛШЕБНОЕ СРЕДСТВО?, ИЗД.2</t>
  </si>
  <si>
    <t>Репринцева Г.И.</t>
  </si>
  <si>
    <t>Практическая педагогика</t>
  </si>
  <si>
    <t>978-5-00091-608-7</t>
  </si>
  <si>
    <t>Методическое пособие</t>
  </si>
  <si>
    <t>37.03.01, 37.04.01, 44.03.01, 44.03.02, 44.04.02</t>
  </si>
  <si>
    <t>091050.05.98</t>
  </si>
  <si>
    <t>Игра - ключ к душе ребенка. Гармон. отнош. ребенка: Метод.пос. / Г.И.Репринцева-М:Форум,2017-240с(п)</t>
  </si>
  <si>
    <t>ИГРА - КЛЮЧ К ДУШЕ РЕБЕНКА. ГАРМОНИЗАЦИЯ ОТНОШЕНИЙ РЕБЕНКА С ОКРУЖАЮЩИМ МИРОМ</t>
  </si>
  <si>
    <t>Репринцева Г. И.</t>
  </si>
  <si>
    <t>978-5-91134-194-7</t>
  </si>
  <si>
    <t>Рекомендовано Ученым Советом ИСПП Российской академии образования в качестве методического пособия</t>
  </si>
  <si>
    <t>655237.04.01</t>
  </si>
  <si>
    <t>Идеалы политически орган.общ.и права: Моногр. /С.А.Дробышевский-М.:Юр.Норма,НИЦ ИНФРА-М,2023-192с(П)</t>
  </si>
  <si>
    <t>ИДЕАЛЫ ПОЛИТИЧЕСКИ ОРГАНИЗОВАННОГО ОБЩЕСТВА И ПРАВА</t>
  </si>
  <si>
    <t>Дробышевский С.А.</t>
  </si>
  <si>
    <t>978-5-91768-832-9</t>
  </si>
  <si>
    <t>40.03.01, 40.04.01, 41.03.04, 41.04.04</t>
  </si>
  <si>
    <t>238700.07.01</t>
  </si>
  <si>
    <t>Идея мышления: Моногр./ С.В. Борзых - М.: НИЦ ИНФРА-М, 2022 - 118 с. (Научная мысль)(О)</t>
  </si>
  <si>
    <t>ИДЕЯ МЫШЛЕНИЯ</t>
  </si>
  <si>
    <t>Борзых С. В.</t>
  </si>
  <si>
    <t>978-5-16-009203-4</t>
  </si>
  <si>
    <t>37.04.01, 47.04.01, 47.06.01</t>
  </si>
  <si>
    <t>686687.04.01</t>
  </si>
  <si>
    <t>Идея соборности и ее худ. вопл. в романе М.А. Шолохова.../ Н.В.Стюфляева-М.:НИЦ ИНФРА-М,2024-172с(О)</t>
  </si>
  <si>
    <t>ИДЕЯ СОБОРНОСТИ И ЕЕ ХУДОЖЕСТВЕННОЕ ВОПЛОЩЕНИЕ В РОМАНЕ М.А. ШОЛОХОВА "ТИХИЙ ДОН"</t>
  </si>
  <si>
    <t>Стюфляева Н.В.</t>
  </si>
  <si>
    <t>978-5-16-014271-5</t>
  </si>
  <si>
    <t>44.03.05, 45.03.01, 45.04.01</t>
  </si>
  <si>
    <t>137800.08.01</t>
  </si>
  <si>
    <t>Идиомы и фразовые глаголы в дел. общен. (англ. яз.): Уч. пос./З.В.Маньковская - ИНФРА-М, 2024-184с. (п)</t>
  </si>
  <si>
    <t>ИДИОМЫ И ФРАЗОВЫЕ ГЛАГОЛЫ В ДЕЛОВОМ ОБЩЕНИИ (АНГЛИЙСКИЙ ЯЗЫК)</t>
  </si>
  <si>
    <t>978-5-16-004460-6</t>
  </si>
  <si>
    <t>Допущено УМО по классическому университетскому образованию в качестве учебного пособия для студентов высших учебных заведений, обучающихся по направлению 031000 и специальности 031001 "Филология"</t>
  </si>
  <si>
    <t>747819.01.01</t>
  </si>
  <si>
    <t>Из истории американской журналистики.: Моногр. / Т.В.Алентьева-М.:НИЦ ИНФРА-М,2021.-296 с.(Науч.мысль)(О)</t>
  </si>
  <si>
    <t>ИЗ ИСТОРИИ АМЕРИКАНСКОЙ ЖУРНАЛИСТИКИ. ФЕНОМЕН «NEW YORK TRIBUNE» И ОБЩЕСТВЕННОЕ МНЕНИЕ В США (1841-1861 ГГ.)</t>
  </si>
  <si>
    <t>978-5-16-016674-2</t>
  </si>
  <si>
    <t>41.03.06, 42.03.02, 42.04.02, 42.06.01</t>
  </si>
  <si>
    <t>805905.01.01</t>
  </si>
  <si>
    <t>Изменение института власти в постсоветской России: Моногр. / И.В.Ситнова-М.:НИЦ ИНФРА-М,2023.-122 с.(о)</t>
  </si>
  <si>
    <t>ИЗМЕНЕНИЕ ИНСТИТУТА ВЛАСТИ В ПОСТСОВЕТСКОЙ РОССИИ: АКТИВИСТСКО-ДЕЯТЕЛЬНОСТНЫЙ ПОДХОД</t>
  </si>
  <si>
    <t>Ситнова И.В.</t>
  </si>
  <si>
    <t>978-5-16-018742-6</t>
  </si>
  <si>
    <t>41.04.04, 41.04.06, 41.06.01</t>
  </si>
  <si>
    <t>Мариупольский Государственный Университет имени А.И. Куинджи</t>
  </si>
  <si>
    <t>750426.01.01</t>
  </si>
  <si>
    <t>Имена массовой культуры Великобритании и США: Лингвокультур. сл./ С.И.Гарагуля-М.:НИЦ ИНФРА-М,2024-381с(п)</t>
  </si>
  <si>
    <t>ИМЕНА МАССОВОЙ КУЛЬТУРЫ ВЕЛИКОБРИТАНИИ И США: ЛИНГВОКУЛЬТУРОЛОГИЧЕСКИЙ СЛОВАРЬ.</t>
  </si>
  <si>
    <t>Гарагуля С.И.</t>
  </si>
  <si>
    <t>978-5-16-016960-6</t>
  </si>
  <si>
    <t>Белгородский государственный технологический университет им. В.Г. Шухова</t>
  </si>
  <si>
    <t>259100.02.01</t>
  </si>
  <si>
    <t>Имплицитная информация в реклам. слоганах..:Моногр./ П.В.Качалкин-М:ИЦ РИОР,НИЦ ИНФРА-М,2017-202с(О)</t>
  </si>
  <si>
    <t>ИМПЛИЦИТНАЯ ИНФОРМАЦИЯ В РЕКЛАМНЫХ СЛОГАНАХ АВИАКОМПАНИЙ</t>
  </si>
  <si>
    <t>Качалкин П. В.</t>
  </si>
  <si>
    <t>978-5-369-01319-9</t>
  </si>
  <si>
    <t>41.03.06, 42.03.01, 42.04.01, 45.03.01, 45.04.01</t>
  </si>
  <si>
    <t>Транснефть</t>
  </si>
  <si>
    <t>634061.07.01</t>
  </si>
  <si>
    <t>Имя прилагательное в языке рус. поэзии ХХ в.: Моногр. / А.Ф.Пантелеев-2 изд-М.:ИЦ РИОР, НИЦ ИНФРА-М,2024-134с.(о)</t>
  </si>
  <si>
    <t>ИМЯ ПРИЛАГАТЕЛЬНОЕ В ЯЗЫКЕ РУССКОЙ ПОЭЗИИ ХХ ВЕКА, ИЗД.2</t>
  </si>
  <si>
    <t>Пантелеев А.Ф., Долматова А.С.</t>
  </si>
  <si>
    <t>978-5-369-01841-5</t>
  </si>
  <si>
    <t>44.04.01, 45.04.01, 45.04.02</t>
  </si>
  <si>
    <t>Южный федеральный университет</t>
  </si>
  <si>
    <t>634061.04.01</t>
  </si>
  <si>
    <t>Имя прилагательное в языке рус.поэзии ХХ в.: Моногр. /А.Ф.Пантелеев-М.:ИЦ РИОР,НИЦ ИНФРА-М,2019-112с</t>
  </si>
  <si>
    <t>ИМЯ ПРИЛАГАТЕЛЬНОЕ В ЯЗЫКЕ РУССКОЙ ПОЭЗИИ ХХ ВЕКА</t>
  </si>
  <si>
    <t>978-5-369-01615-2</t>
  </si>
  <si>
    <t>363700.08.01</t>
  </si>
  <si>
    <t>Индивидуальное психолог.консульт.:основы теории.: Уч.пос./Р.М.Айсина-ИЦ РИОР,НИЦ ИНФРА-М,2024-148(ВО)</t>
  </si>
  <si>
    <t>ИНДИВИДУАЛЬНОЕ ПСИХОЛОГИЧЕСКОЕ КОНСУЛЬТИРОВАНИЕ: ОСНОВЫ ТЕОРИИ И ПРАКТИКИ</t>
  </si>
  <si>
    <t>Айсина Р.М.</t>
  </si>
  <si>
    <t>978-5-369-01467-7</t>
  </si>
  <si>
    <t>37.03.01, 37.04.01, 37.05.01</t>
  </si>
  <si>
    <t>Северо-Кавказский федеральный университет</t>
  </si>
  <si>
    <t>742687.03.01</t>
  </si>
  <si>
    <t>Индустрия культуры и креатива: Монография / Н.А.Мальшина - М.:НИЦ ИНФРА-М,2024 - 160 с.(Науч.мысль)(О)</t>
  </si>
  <si>
    <t>ИНДУСТРИЯ КУЛЬТУРЫ И КРЕАТИВА: УПРАВЛЕНИЕ ПОТОКОВЫМИ ПРОЦЕССАМИ</t>
  </si>
  <si>
    <t>Мальшина Н.А., Гарнов А.П.</t>
  </si>
  <si>
    <t>978-5-16-016470-0</t>
  </si>
  <si>
    <t>38.03.02, 38.04.02, 50.04.04, 51.04.04</t>
  </si>
  <si>
    <t>Саратовская государственная консерватория имени Л.В. Собинова</t>
  </si>
  <si>
    <t>732499.02.01</t>
  </si>
  <si>
    <t>Инновации в социальных и образовательных системах: Моногр./ Н.Н.Каргин-М.:НИЦ ИНФРА-М,2022-299с.(О)</t>
  </si>
  <si>
    <t>ИННОВАЦИИ В СОЦИАЛЬНЫХ И ОБРАЗОВАТЕЛЬНЫХ СИСТЕМАХ  (НА ПРИМЕРЕ СПОРТИВНО-ОЗДОРОВИТЕЛЬНОЙ ДЕЯТЕЛЬНОСТИ)</t>
  </si>
  <si>
    <t>Каргин Н.Н., Лаамарти Ю.А.</t>
  </si>
  <si>
    <t>978-5-16-016194-5</t>
  </si>
  <si>
    <t>39.03.01, 39.04.01, 39.04.03, 39.06.01</t>
  </si>
  <si>
    <t>149400.10.01</t>
  </si>
  <si>
    <t>Инновационная экономика молодеж. среды: Уч. пос. / В.О.Евсеев - М.: Вуз. уч.,НИЦ ИНФРА-М, 2023-342с. (п)</t>
  </si>
  <si>
    <t>ИННОВАЦИОННАЯ ЭКОНОМИКА МОЛОДЕЖНОЙ СРЕДЫ</t>
  </si>
  <si>
    <t>Евсеев В. О.</t>
  </si>
  <si>
    <t>978-5-9558-0187-2</t>
  </si>
  <si>
    <t>39.03.02, 39.03.03, 39.04.02, 39.04.03</t>
  </si>
  <si>
    <t>Рекомендовано УМО по образованию в области социальной работы в качестве учебного пособия для студентов высших учебных заведений, обучающихся по направлению подготовки и специальности "Социальная работа"</t>
  </si>
  <si>
    <t>774880.01.01</t>
  </si>
  <si>
    <t>Институциональные изменения в совр. Рос.: монография / И.В.Ситнова-М.:НИЦ ИНФРА-М,2023.-179 с.(О)</t>
  </si>
  <si>
    <t>ИНСТИТУЦИОНАЛЬНЫЕ ИЗМЕНЕНИЯ В СОВРЕМЕННОЙ РОССИИ: АКТИВИСТСКО-ДЕЯТЕЛЬНОСТНЫЙ ПОДХОД</t>
  </si>
  <si>
    <t>978-5-16-017742-7</t>
  </si>
  <si>
    <t>164450.04.01</t>
  </si>
  <si>
    <t>Интеграция и коммун. как векторы соц.динамики: Моногр. /И.А.Савченко -М.:ИЦ РИОР,ИНФРА-М,2017-201с(О)</t>
  </si>
  <si>
    <t>ИНТЕГРАЦИЯ И КОММУНИКАЦИЯ КАК ВЕКТОРЫ СОЦИОКУЛЬТУРНОЙ ДИНАМИКИ</t>
  </si>
  <si>
    <t>Савченко И. А.</t>
  </si>
  <si>
    <t>978-5-369-00973-4</t>
  </si>
  <si>
    <t>51.03.01, 51.03.03, 51.04.01, 51.04.03, 51.06.01</t>
  </si>
  <si>
    <t>Нижегородский государственный лингвистический университет им. Добролюбова</t>
  </si>
  <si>
    <t>411700.07.01</t>
  </si>
  <si>
    <t>Интеграция, сотруд. и разв. на постсовет..: Моногр. / Е.Д.Халевинская - М.:Магистр,НИЦ ИНФРА-М,2023-200с(О)</t>
  </si>
  <si>
    <t>ИНТЕГРАЦИЯ, СОТРУДНИЧЕСТВО И РАЗВИТИЕ НА ПОСТСОВЕТСКОМ ПРОСТРАНСТВЕ</t>
  </si>
  <si>
    <t>Халевинская Е. Д.</t>
  </si>
  <si>
    <t>978-5-9776-0248-8</t>
  </si>
  <si>
    <t>38.03.01, 38.03.04, 38.04.01, 38.04.04</t>
  </si>
  <si>
    <t>376700.06.01</t>
  </si>
  <si>
    <t>Интеллектуальная собств.: эскизы общей теории: Моногр. / А.М.Орехов - М.:НИЦ ИНФРА-М,2024. - 160 с.(О)</t>
  </si>
  <si>
    <t>ИНТЕЛЛЕКТУАЛЬНАЯ СОБСТВЕННОСТЬ: ЭСКИЗЫ ОБЩЕЙ ТЕОРИИ</t>
  </si>
  <si>
    <t>Орехов А.М.</t>
  </si>
  <si>
    <t>978-5-16-010904-6</t>
  </si>
  <si>
    <t>06.03.02, 39.03.01, 39.04.01, 40.03.01, 40.04.01, 47.03.01, 47.04.01</t>
  </si>
  <si>
    <t>179570.03.01</t>
  </si>
  <si>
    <t>Интенциональный аспект рекламного дискурса...: Монография / Н.К. Иванова - М.: РИОР, 2023 - 182с(о)</t>
  </si>
  <si>
    <t>ИНТЕНЦИОНАЛЬНЫЙ АСПЕКТ РЕКЛАМНОГО ДИСКУРСА: ФОНЕТИКО-ОРФОГРАФИЧЕСКИЕ ОСОБЕННОСТИ</t>
  </si>
  <si>
    <t>Иванова Н.К., Мощева С.В.</t>
  </si>
  <si>
    <t>Наука и практика</t>
  </si>
  <si>
    <t>978-5-369-00920-8</t>
  </si>
  <si>
    <t>45.06.01</t>
  </si>
  <si>
    <t>732549.05.01</t>
  </si>
  <si>
    <t>Интернациональное и национальное в лингвокультурах: Уч.пос. / Н.Г.Склярова-М.:НИЦ ИНФРА-М,2023.-194 с.(П)</t>
  </si>
  <si>
    <t>ИНТЕРНАЦИОНАЛЬНОЕ И НАЦИОНАЛЬНОЕ В ЛИНГВОКУЛЬТУРАХ (НА МАТЕРИАЛЕ РУССКОЙ И АНГЛИЙСКОЙ ФРАЗЕОЛОГИИ)</t>
  </si>
  <si>
    <t>Склярова Н.Г.</t>
  </si>
  <si>
    <t>978-5-16-016071-9</t>
  </si>
  <si>
    <t>44.03.01, 44.03.05, 44.04.01, 44.04.04, 45.03.01, 45.03.02, 45.04.01, 45.04.02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</si>
  <si>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44.04.01 «Педагогическое образование» (квалификация (степень) «бакалавр») (протокол № 6 от 16.06.2021)</t>
  </si>
  <si>
    <t>820928.01.01</t>
  </si>
  <si>
    <t>Интернет-коммуникац. и жанры рус. электронного...: Уч.пос. / И.В.Евсеева-М.:НИЦ ИНФРА-М, СФУ,2024-184с(ВО)(п)</t>
  </si>
  <si>
    <t>ИНТЕРНЕТ-КОММУНИКАЦИЯ И ЖАНРЫ РУССКОГО ЭЛЕКТРОННОГО ЭПИСТОЛЯРИЯ</t>
  </si>
  <si>
    <t>Евсеева И.В., Кожеко А.В.</t>
  </si>
  <si>
    <t>978-5-16-019596-4</t>
  </si>
  <si>
    <t>42.03.05, 42.04.05, 45.04.02</t>
  </si>
  <si>
    <t>163850.08.01</t>
  </si>
  <si>
    <t>Интернет-психология / А.Е.Баранов - М.:ИЦ РИОР, НИЦ ИНФРА-М,2022 - 264 с.(Практич. психология)(О)</t>
  </si>
  <si>
    <t>ИНТЕРНЕТ-ПСИХОЛОГИЯ</t>
  </si>
  <si>
    <t>Баранов А. Е.</t>
  </si>
  <si>
    <t>Практическая психология</t>
  </si>
  <si>
    <t>978-5-369-01000-6</t>
  </si>
  <si>
    <t>Практическое руководство</t>
  </si>
  <si>
    <t>35.02.12, 37.04.01, 37.06.01, 38.02.03, 38.02.07, 42.04.01, 42.04.05, 42.06.01, 44.03.01, 44.03.05</t>
  </si>
  <si>
    <t>NBmarketing</t>
  </si>
  <si>
    <t>447050.06.01</t>
  </si>
  <si>
    <t>Интерпретация текста. Французская новелла.: Уч./А.А.Корниенко - М.: Вуз.уч.: ИНФРА-М, 2024-175с(о)</t>
  </si>
  <si>
    <t>ИНТЕРПРЕТАЦИЯ ТЕКСТА. ФРАНЦУЗСКАЯ НОВЕЛЛА.</t>
  </si>
  <si>
    <t>Корниенко А. А.</t>
  </si>
  <si>
    <t>978-5-9558-0326-5</t>
  </si>
  <si>
    <t>45.03.01, 45.03.02, 45.04.01, 45.04.02, 45.05.01, 51.03.06</t>
  </si>
  <si>
    <t>Рекомендовано Московским государственным лингвистическим университетом для студентов 5 курса, обучающихся по специальностям направления «Лингвистика и межкультурная коммуникация», бакалавров 4 курса и магистров, обучающихся по направлению «Лингвистик</t>
  </si>
  <si>
    <t>Российский экономический университет им. Г.В. Плеханова, Пятигорский ф-л</t>
  </si>
  <si>
    <t>674330.03.01</t>
  </si>
  <si>
    <t>Интерпретация худ.текста: русско-исп. диалог: Моногр./ О.С.Чеснокова - М.:НИЦ ИНФРА-М,2022 - 174с(О)</t>
  </si>
  <si>
    <t>ИНТЕРПРЕТАЦИЯ ХУДОЖЕСТВЕННОГО ТЕКСТА: РУССКО-ИСПАНСКИЙ ДИАЛОГ</t>
  </si>
  <si>
    <t>Чеснокова О.С.</t>
  </si>
  <si>
    <t>978-5-16-013840-4</t>
  </si>
  <si>
    <t>41.03.06, 42.03.02, 44.03.01, 44.03.05, 45.03.01, 45.04.01, 45.05.01</t>
  </si>
  <si>
    <t>419200.11.01</t>
  </si>
  <si>
    <t>Информационно-аналитич. раб. в международ. отнош.: Уч.пос. / В.В.Демидов- 2изд.-М.:НИЦ ИНФРА-М,2023.-369с(П)</t>
  </si>
  <si>
    <t>ИНФОРМАЦИОННО-АНАЛИТИЧЕСКАЯ РАБОТА В МЕЖДУНАРОДНЫХ ОТНОШЕНИЯХ, ИЗД.2</t>
  </si>
  <si>
    <t>Демидов В.В.</t>
  </si>
  <si>
    <t>978-5-16-015375-9</t>
  </si>
  <si>
    <t>41.03.01, 41.03.04, 41.03.05, 41.03.06, 41.04.01, 41.04.05, 42.03.01, 42.04.01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</si>
  <si>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41.04.01 «Зарубежное регионоведение», 41.04.05 «Международные отношения» (квалификация (степень) «магистр») (протокол № 6 от 25.03.2019)</t>
  </si>
  <si>
    <t>Российская академия народного хозяйства и государственной службы при Президенте РФ, ф-л Сибирский институт управления</t>
  </si>
  <si>
    <t>673762.02.01</t>
  </si>
  <si>
    <t>Информационно-аналитич. работа: Уч.пос. / С.Е.Мишенин-М.:НИЦ ИНФРА-М,2024.-384 с.(ВО: Бакалавр.)(П)</t>
  </si>
  <si>
    <t>ИНФОРМАЦИОННО-АНАЛИТИЧЕСКАЯ РАБОТА</t>
  </si>
  <si>
    <t>Мишенин С.Е.</t>
  </si>
  <si>
    <t>978-5-16-019361-8</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</si>
  <si>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46.03.01 «История» (квалификация (степень) «бакалавр») (протокол № 17 от 11.11.2019)</t>
  </si>
  <si>
    <t>Кузбасский региональный институт развития профессионального образования</t>
  </si>
  <si>
    <t>419200.05.01</t>
  </si>
  <si>
    <t>Информационно-аналитическая работа в межд.отн.: Уч.пос./В.В.Демидов-М.:Вуз.уч.,НИЦ ИНФРА-М,2018-200с</t>
  </si>
  <si>
    <t>ИНФОРМАЦИОННО-АНАЛИТИЧЕСКАЯ РАБОТА В МЕЖДУНАРОДНЫХ ОТНОШЕНИЯХ</t>
  </si>
  <si>
    <t>978-5-9558-0269-5</t>
  </si>
  <si>
    <t>Рекомендовано Учебно-методическим объединением вузов Российской Федерации по образованию в области международных отношений в качестве учебного пособия для студентов вузов, обучающихся по направлениям подготовки и специальностям «Международные отношения», «Регионоведение» и «Связи с общественностью»</t>
  </si>
  <si>
    <t>753869.03.01</t>
  </si>
  <si>
    <t>Информационные технологии в проф. деят. социологов: Уч. / Л.С.Онокой-М.:НИЦ ИНФРА-М,2023.-344 с.(ВО: Бакалавр.)(П)</t>
  </si>
  <si>
    <t>ИНФОРМАЦИОННЫЕ ТЕХНОЛОГИИ В ПРОФЕССИОНАЛЬНОЙ ДЕЯТЕЛЬНОСТИ СОЦИОЛОГОВ</t>
  </si>
  <si>
    <t>Онокой Л.С., Титов В.М.</t>
  </si>
  <si>
    <t>Высшее образование: Бакалавриат (Финуниверситет)</t>
  </si>
  <si>
    <t>978-5-16-016959-0</t>
  </si>
  <si>
    <t>39.03.01</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</si>
  <si>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социологическим направлениям подготовки (квалификация (степень) «бакалавр») (протокол № 3 от 17.03.2021)</t>
  </si>
  <si>
    <t>779237.02.01</t>
  </si>
  <si>
    <t>Иные мы: Монография / С.В.Борзых-М.:НИЦ ИНФРА-М,2024.-219 с.(Науч.мысль)(О)</t>
  </si>
  <si>
    <t>ИНЫЕ МЫ</t>
  </si>
  <si>
    <t>978-5-16-017741-0</t>
  </si>
  <si>
    <t>648375.06.01</t>
  </si>
  <si>
    <t>Искусство и методол. соц.-гуман. познания: Моногр. / Н.Ф.Бучило-М.:Юр.Норма,НИЦ ИНФРА-М,2023-240с(П)</t>
  </si>
  <si>
    <t>ИСКУССТВО И МЕТОДОЛОГИЯ СОЦИАЛЬНО-ГУМАНИТАРНОГО ПОЗНАНИЯ</t>
  </si>
  <si>
    <t>Бучило Н.Ф.</t>
  </si>
  <si>
    <t>978-5-91768-802-2</t>
  </si>
  <si>
    <t>46.04.03, 47.04.02, 50.03.01</t>
  </si>
  <si>
    <t>753865.03.01</t>
  </si>
  <si>
    <t>Искусство ландшафтной архитектуры и дизайна: Уч.пос. / Г.А.Потаев-М.:НИЦ ИНФРА-М,2023.-429 с.(ВО)(П)</t>
  </si>
  <si>
    <t>ИСКУССТВО ЛАНДШАФТНОЙ АРХИТЕКТУРЫ И ДИЗАЙНА</t>
  </si>
  <si>
    <t>978-5-16-016896-8</t>
  </si>
  <si>
    <t>05.03.02, 05.04.02, 07.03.01, 07.03.02, 07.03.04, 07.04.01, 35.03.10, 35.04.03, 35.04.09, 54.05.05</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</si>
  <si>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35.03.10 «Ландшафтная архитектура», 07.03.03 «Дизайн архитектурной среды», 54.03.01 «Дизайн» (квалификация (степень) «бакалавр») (протокол № 1 от 12.01.2022)</t>
  </si>
  <si>
    <t>169800.07.01</t>
  </si>
  <si>
    <t>Искушение Европы. Исторические профили / Т.Д.Валовая - 2 изд. - М.: Магистр:  ИНФРА-М, 2024-576с. (п)</t>
  </si>
  <si>
    <t>ИСКУШЕНИЕ ЕВРОПЫ. ИСТОРИЧЕСКИЕ ПРОФИЛИ, ИЗД.2</t>
  </si>
  <si>
    <t>Валовая Т. Д.</t>
  </si>
  <si>
    <t>978-5-9776-0214-3</t>
  </si>
  <si>
    <t>Научно-популярное издание</t>
  </si>
  <si>
    <t>41.03.01, 46.03.01, 46.04.01</t>
  </si>
  <si>
    <t>793849.01.01</t>
  </si>
  <si>
    <t>Исламские финансы: история и совр.: Моногр. / А.З.Нагимова-М.:НИЦ ИНФРА-М,2023.-218 с.(Науч.мысль)(п)</t>
  </si>
  <si>
    <t>ИСЛАМСКИЕ ФИНАНСЫ: ИСТОРИЯ И СОВРЕМЕННОСТЬ</t>
  </si>
  <si>
    <t>Нагимова А.З.</t>
  </si>
  <si>
    <t>978-5-16-018196-7</t>
  </si>
  <si>
    <t>38.04.01, 38.06.01, 38.07.02</t>
  </si>
  <si>
    <t>Уфимский государственный нефтяной технический университет</t>
  </si>
  <si>
    <t>Май, 2023</t>
  </si>
  <si>
    <t>663311.08.01</t>
  </si>
  <si>
    <t>Исламский терроризм...: Моногр./ В.В.Желтов - 2 изд. - М.:НИЦ ИНФРА-М,2024 - 110 с.(о)</t>
  </si>
  <si>
    <t>ИСЛАМСКИЙ ТЕРРОРИЗМ: РАДИКАЛИЗАЦИЯ, РЕКРУТИРОВАНИЕ, ИНДОКТРИНАЦИЯ, ИЗД.2</t>
  </si>
  <si>
    <t>Желтов В.В., Желтов М.В.</t>
  </si>
  <si>
    <t>978-5-16-019840-8</t>
  </si>
  <si>
    <t>37.03.01, 38.03.01, 38.03.03, 38.03.04, 39.03.01, 39.03.03, 39.04.01, 40.03.01, 41.03.05, 41.03.06, 41.04.04, 42.03.02, 44.03.01, 44.03.05, 47.03.01, 51.03.01, 51.03.03</t>
  </si>
  <si>
    <t>682615.04.01</t>
  </si>
  <si>
    <t>Испанский яз.Интенсив. курс.Синтаксис: Уч.пос. / Л.Р.Маилян-М.:ИЦ РИОР, НИЦ ИНФРА-М,2024.-218 с.(ВО)(п)</t>
  </si>
  <si>
    <t>ИСПАНСКИЙ ЯЗЫК.ИНТЕНСИВНЫЙ КУРС.СИНТАКСИС</t>
  </si>
  <si>
    <t>Маилян Л.Р., Эмилия А.Р.</t>
  </si>
  <si>
    <t>978-5-369-01776-0</t>
  </si>
  <si>
    <t>НИИ строительной физики Российской Академии архитектуры и строительных наук</t>
  </si>
  <si>
    <t>640647.03.01</t>
  </si>
  <si>
    <t>Испанский язык: интенсивный курс: Уч.пос. / А.Р.Эмилия-М.:ИЦ РИОР, НИЦ ИНФРА-М,2023.-241 с.(СПО)(П)</t>
  </si>
  <si>
    <t>ИСПАНСКИЙ ЯЗЫК: ИНТЕНСИВНЫЙ КУРС</t>
  </si>
  <si>
    <t>Родригес Алмейда Э., Маилян Л.Р.</t>
  </si>
  <si>
    <t>978-5-369-01646-6</t>
  </si>
  <si>
    <t>00.03.02, 00.05.02, 45.03.01, 45.03.02, 45.03.03, 45.03.04, 45.05.01</t>
  </si>
  <si>
    <t>778278.03.01</t>
  </si>
  <si>
    <t>Истоки и основы философии: курс лекций / Ф.А.Тригубенко-М.:НИЦ ИНФРА-М,2023.-144 с.(ВО)(о)</t>
  </si>
  <si>
    <t>ИСТОКИ И ОСНОВЫ ФИЛОСОФИИ</t>
  </si>
  <si>
    <t>Тригубенко Ф.А.</t>
  </si>
  <si>
    <t>978-5-16-017691-8</t>
  </si>
  <si>
    <t>Курс лекций</t>
  </si>
  <si>
    <t>00.03.11</t>
  </si>
  <si>
    <t>706233.02.01</t>
  </si>
  <si>
    <t>Историко-географ. особ. традиц. природопол. в жизнеобеспечении...: Моногр./ С.А.Козлова -М.ИНФРА-М,2024-194с.(О)</t>
  </si>
  <si>
    <t>ИСТОРИКО-ГЕОГРАФИЧЕСКИЕ ОСОБЕННОСТИ ТРАДИЦИОННОГО ПРИРОДОПОЛЬЗОВАНИЯ В ЖИЗНЕОБЕСПЕЧЕНИИ СТАРООБРЯДЦЕВ ЗАПАДНОГО ЗАБАЙКАЛЬЯ</t>
  </si>
  <si>
    <t>Козлова С.А.</t>
  </si>
  <si>
    <t>978-5-16-015085-7</t>
  </si>
  <si>
    <t>05.04.06, 05.06.01, 46.06.01, 51.04.01, 51.06.01</t>
  </si>
  <si>
    <t>Иркутский государственный аграрный университет им. А.А. Ежевского</t>
  </si>
  <si>
    <t>668312.05.01</t>
  </si>
  <si>
    <t>Историко-географ.особен.формир. этнокультур.ландш..:Моногр./Л.С.Цыдыпова-М.:НИЦ ИНФРА-М,2024-156с(О)</t>
  </si>
  <si>
    <t>ИСТОРИКО-ГЕОГРАФИЧЕСКИЕ ОСОБЕННОСТИ ФОРМИРОВАНИЯ ЭТНОКУЛЬТУРНОГО ЛАНДШАФТА БАРГУЗИНСКОГО ПРИБАЙКАЛЬЯ</t>
  </si>
  <si>
    <t>Цыдыпова Л.С.</t>
  </si>
  <si>
    <t>978-5-16-013282-2</t>
  </si>
  <si>
    <t>51.03.01, 51.03.02, 51.04.02</t>
  </si>
  <si>
    <t>Институт географии им. В.Б. Сочавы Сибирского отделения Российской академии наук</t>
  </si>
  <si>
    <t>657953.05.01</t>
  </si>
  <si>
    <t>Историческая грамматика рус. яз.: Уч.пос./ А.Ф.Пантелеев - 2изд.-М.:ИЦ РИОР,НИЦ ИНФРА-М,2023-216с(П)</t>
  </si>
  <si>
    <t>ИСТОРИЧЕСКАЯ ГРАММАТИКА РУССКОГО ЯЗЫКА, ИЗД.2</t>
  </si>
  <si>
    <t>Пантелеев А.Ф., Шейко Е.В.</t>
  </si>
  <si>
    <t>978-5-369-01760-9</t>
  </si>
  <si>
    <t>45.03.01, 45.03.02</t>
  </si>
  <si>
    <t>657953.01.01</t>
  </si>
  <si>
    <t>Историческая грамматика русского яз.: Уч.пос. / Е.В.Шейко-М.:ИЦ РИОР,НИЦ ИНФРА-М,2017-216 с.-(ВО)(П)</t>
  </si>
  <si>
    <t>ИСТОРИЧЕСКАЯ ГРАММАТИКА РУССКОГО ЯЗЫКА</t>
  </si>
  <si>
    <t>Шейко Е.В., Пантелеев А.Ф.</t>
  </si>
  <si>
    <t>978-5-369-01688-6</t>
  </si>
  <si>
    <t>659175.02.01</t>
  </si>
  <si>
    <t>Историческая динамика соц. структуры рос. общества: Моногр. / А.И.Кравченко-М.:НИЦ ИНФРА-М,2020-376с</t>
  </si>
  <si>
    <t>ИСТОРИЧЕСКАЯ ДИНАМИКА СОЦИАЛЬНОЙ СТРУКТУРЫ РОССИЙСКОГО ОБЩЕСТВА</t>
  </si>
  <si>
    <t>Кравченко А.И.</t>
  </si>
  <si>
    <t>978-5-16-013766-7</t>
  </si>
  <si>
    <t>00.03.10, 44.03.01, 44.03.05</t>
  </si>
  <si>
    <t>748278.02.01</t>
  </si>
  <si>
    <t>Историческая политика: Уч. / В.Э.Багдасарян-М.:НИЦ ИНФРА-М,2024.-336 с..-(ВО:Магистр)(п)</t>
  </si>
  <si>
    <t>ИСТОРИЧЕСКАЯ ПОЛИТИКА</t>
  </si>
  <si>
    <t>Багдасарян В.Э., Бушуев В.В.</t>
  </si>
  <si>
    <t>978-5-16-016767-1</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</si>
  <si>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41.04.04 «Политология» (квалификация (степень) «магистр») (протокол № 8 от 19.10.2022)</t>
  </si>
  <si>
    <t>Государственный Университет Просвещения</t>
  </si>
  <si>
    <t>334300.04.01</t>
  </si>
  <si>
    <t>Историческая социология: Уч.пос. / В.В.Афанасьев - М.:НИЦ ИНФРА-М,2019-181с.(ВО: Бакалавриат)(О)</t>
  </si>
  <si>
    <t>ИСТОРИЧЕСКАЯ СОЦИОЛОГИЯ</t>
  </si>
  <si>
    <t>978-5-16-010652-6</t>
  </si>
  <si>
    <t>38.03.04, 39.03.01, 41.03.06, 42.03.01, 44.03.01, 44.03.05, 45.03.04, 51.03.01</t>
  </si>
  <si>
    <t>Допущено Учебно-методическим объединением по классическому университетскому образованию к изданию в качестве учебного пособия для студентов высших учебных заведений, обучающихся по направлению 39.03.01 «Социология»</t>
  </si>
  <si>
    <t>657960.07.01</t>
  </si>
  <si>
    <t>Исторические основы геополит.потенциала...: Моногр. / Л.О.Терновая - М.:НИЦ ИНФРА-М,2024-195с(Науч.мысль)</t>
  </si>
  <si>
    <t>ИСТОРИЧЕСКИЕ ОСНОВЫ ГЕОПОЛИТИЧЕСКОГО ПОТЕНЦИАЛА РОССИЙСКОГО КАЗАЧЕСТВА</t>
  </si>
  <si>
    <t>978-5-16-012889-4</t>
  </si>
  <si>
    <t>41.04.02, 46.03.02, 46.04.01</t>
  </si>
  <si>
    <t>776802.01.01</t>
  </si>
  <si>
    <t>Исторические портреты эпохи Американской революции XVIII в. / М.А.Филимонова-М.:НИЦ ИНФРА-М,2023.-291 с.(О)</t>
  </si>
  <si>
    <t>ИСТОРИЧЕСКИЕ ПОРТРЕТЫ ЭПОХИ АМЕРИКАНСКОЙ РЕВОЛЮЦИИ XVIII ВЕКА</t>
  </si>
  <si>
    <t>Филимонова М.А.</t>
  </si>
  <si>
    <t>978-5-16-017686-4</t>
  </si>
  <si>
    <t>41.03.01, 41.03.05, 41.06.01</t>
  </si>
  <si>
    <t>263600.11.01</t>
  </si>
  <si>
    <t>Историческое краеведение: накопление...: Уч. пос./А.М.Селиванов - М:Форум:НИЦ ИНФРА-М,2023-319с. (п)</t>
  </si>
  <si>
    <t>ИСТОРИЧЕСКОЕ КРАЕВЕДЕНИЕ: НАКОПЛЕНИЕ И РАЗВИТИЕ КРАЕВЕДЧЕСКИХ ЗНАНИЙ В РОССИИ (XVIII - XX ВВ.), ИЗД.2</t>
  </si>
  <si>
    <t>Селиванов А.М.</t>
  </si>
  <si>
    <t>978-5-91134-850-2</t>
  </si>
  <si>
    <t>46.03.01, 46.04.01</t>
  </si>
  <si>
    <t>Ярославский государственный университет им. П.Г. Демидова</t>
  </si>
  <si>
    <t>645375.06.01</t>
  </si>
  <si>
    <t>История  научной психологии: Уч. / Г.М.Бреслав-М.:НИЦ ИНФРА-М,2023.-539 с..-(ВО: Специалитет)(п)</t>
  </si>
  <si>
    <t>ИСТОРИЯ  НАУЧНОЙ ПСИХОЛОГИИ</t>
  </si>
  <si>
    <t>Бреслав Г.М.</t>
  </si>
  <si>
    <t>978-5-16-012833-7</t>
  </si>
  <si>
    <t>37.03.01, 37.05.01, 37.05.02, 44.05.01</t>
  </si>
  <si>
    <t>Рекомендовано в качестве учебника для студентов высших учебных заведений, обучающихся по направлениям подготовки 37.03.01 «Психология» (квалификация (степень) «бакалавр»); 37.05.01 «Клиническая психология» (квалификация «клинический психолог»); 44.05.01 «Педагогика и психология девиантного поведения» (квалификация «социальный педагог»)</t>
  </si>
  <si>
    <t>329600.05.01</t>
  </si>
  <si>
    <t>История  словацкой литературы (от ист. до 1918 г): Уч.пос. / А.Г.Машкова-М.:НИЦ ИНФРА-М,2022-156 с.(ВО)(О)</t>
  </si>
  <si>
    <t>ИСТОРИЯ  СЛОВАЦКОЙ ЛИТЕРАТУРЫ (ОТ ИСТОКОВ ДО 1918 ГОДА)</t>
  </si>
  <si>
    <t>Машкова А.Г.</t>
  </si>
  <si>
    <t>978-5-16-010599-4</t>
  </si>
  <si>
    <t>45.03.01</t>
  </si>
  <si>
    <t>Допущено УМО по классическому университетскому образованию в качестве учебного пособия для студентов высших учебных заведений, обучающихся по направлению подготовки 45.03.01 "Филология"</t>
  </si>
  <si>
    <t>656364.02.01</t>
  </si>
  <si>
    <t>История архитектуры мировых конфессий: Уч. / С.В.Ильвицкая - М.:НИЦ ИНФРА-М,2024 - 206 с.(ВО)(п)</t>
  </si>
  <si>
    <t>ИСТОРИЯ АРХИТЕКТУРЫ МИРОВЫХ КОНФЕССИЙ</t>
  </si>
  <si>
    <t>978-5-16-016963-7</t>
  </si>
  <si>
    <t>058400.17.01</t>
  </si>
  <si>
    <t>История архитектуры: Уч.пос. / Н.В.Бирюкова - М.:НИЦ ИНФРА-М,2024 - 367 с.(СПО)(П)</t>
  </si>
  <si>
    <t>ИСТОРИЯ АРХИТЕКТУРЫ</t>
  </si>
  <si>
    <t>Бирюкова Н. В.</t>
  </si>
  <si>
    <t>978-5-16-006329-4</t>
  </si>
  <si>
    <t>07.02.01</t>
  </si>
  <si>
    <t>Допущено Государственным комитетом Российской Федерации по строительству и жилищно-коммунальному комплексу в качестве учебного пособия для студентов средних специальных учебных заведений, обучающихся по специальности «Архитектура» (07.02.01)</t>
  </si>
  <si>
    <t>Пензенский колледж архитектуры и строительства</t>
  </si>
  <si>
    <t>0105</t>
  </si>
  <si>
    <t>089570.08.01</t>
  </si>
  <si>
    <t>История гос. управления в России: Уч.пос. / Ф.И.Биншток-М.:ИЦ РИОР, НИЦ ИНФРА-М,2024.-125 с.(О)</t>
  </si>
  <si>
    <t>ИСТОРИЯ ГОСУДАРСТВЕННОГО УПРАВЛЕНИЯ В РОССИИ</t>
  </si>
  <si>
    <t>Биншток Ф. И.</t>
  </si>
  <si>
    <t>978-5-369-00256-8</t>
  </si>
  <si>
    <t>38.03.04, 38.04.04</t>
  </si>
  <si>
    <t>701951.06.01</t>
  </si>
  <si>
    <t>История западноевроп. философии: от Античности... Уч.пос. / А.Л.Панищев-М.:НИЦ ИНФРА-М,2023-175с(П)</t>
  </si>
  <si>
    <t>ИСТОРИЯ ЗАПАДНОЕВРОПЕЙСКОЙ ФИЛОСОФИИ: ОТ АНТИЧНОСТИ ДО РЕНЕССАНСА</t>
  </si>
  <si>
    <t>Высшее образование: Бакалавриат (СевГУ)</t>
  </si>
  <si>
    <t>978-5-16-015142-7</t>
  </si>
  <si>
    <t>44.03.05, 47.03.01, 47.03.02, 47.03.03, 47.04.01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</si>
  <si>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бакалавриата (протокол № 12 от 24.06.2019)</t>
  </si>
  <si>
    <t>705850.01.01</t>
  </si>
  <si>
    <t>История и совр. сост. молодеж. политики за рубежом: Уч. / Е.Я.Орехова - М.:НИЦ ИНФРА-М,2022 - 394 с.(ВО)(П)</t>
  </si>
  <si>
    <t>ИСТОРИЯ И СОВРЕМЕННОЕ СОСТОЯНИЕ МОЛОДЕЖНОЙ ПОЛИТИКИ ЗА РУБЕЖОМ</t>
  </si>
  <si>
    <t>Орехова Е.Я., Полунина Л.Н.</t>
  </si>
  <si>
    <t>978-5-16-015304-9</t>
  </si>
  <si>
    <t>39.03.03</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</si>
  <si>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39.03.03 «Организация работы с молодежью» (квалификация (степень) «бакалавр») (протокол № 8 от 20.10.2021)</t>
  </si>
  <si>
    <t>720673.02.01</t>
  </si>
  <si>
    <t>История и философия науки: Уч. / В.И.Пржиленский-М.:Юр.Норма, НИЦ ИНФРА-М,2022.-296 с.(П)</t>
  </si>
  <si>
    <t>ИСТОРИЯ И ФИЛОСОФИЯ НАУКИ</t>
  </si>
  <si>
    <t>Пржиленский В.И.</t>
  </si>
  <si>
    <t>978-5-00156-030-2</t>
  </si>
  <si>
    <t>40.06.01</t>
  </si>
  <si>
    <t>636128.03.01</t>
  </si>
  <si>
    <t>История и философия науки: Уч.пос. / А.Б.Оришев и др. - М.:ИЦ РИОР,НИЦ ИНФРА-М,2023-206с.(ВО)(О)</t>
  </si>
  <si>
    <t>Оришев А.Б., Ромашкин К.И., Мамедов А.А.</t>
  </si>
  <si>
    <t>978-5-369-01593-3</t>
  </si>
  <si>
    <t>47.00.00, 47.03.01</t>
  </si>
  <si>
    <t>Допущено в качестве учебного пособия для студентов, обучающихся по программам магистратуры, и аспирантов, обучающихся по гуманитарным и естественно-научным программам подготовки научно-педагогических кадров высшей квалификации</t>
  </si>
  <si>
    <t>Российский государственный аграрный университет - МСХА им. К.А. Тимирязева</t>
  </si>
  <si>
    <t>778277.01.01</t>
  </si>
  <si>
    <t>История и философия науки: Уч.пос. / Б.И.Липский - М.:НИЦ ИНФРА-М,2024. - 301 с.(ВО: Аспирантура)(п)</t>
  </si>
  <si>
    <t>Липский Б.И.</t>
  </si>
  <si>
    <t>Высшее образование: Аспирантура</t>
  </si>
  <si>
    <t>978-5-16-017952-0</t>
  </si>
  <si>
    <t>00.06.01, 01.04.01, 01.04.02, 03.04.02, 05.04.02, 36.04.02, 41.04.05, 44.04.01, 44.04.02, 44.04.04, 45.04.01, 45.04.02, 46.04.01, 46.04.02, 49.04.02, 49.04.03, 51.04.04</t>
  </si>
  <si>
    <t>418600.08.01</t>
  </si>
  <si>
    <t>История и философия науки: Уч.пос. / В.Э.Вечканов-М.:ИЦ РИОР, НИЦ ИНФРА-М,2024.-256 с.(ВО: Бакалавр.)(п)</t>
  </si>
  <si>
    <t>Вечканов В. Э.</t>
  </si>
  <si>
    <t>978-5-369-01114-0</t>
  </si>
  <si>
    <t>00.03.16, 00.04.17</t>
  </si>
  <si>
    <t>Учебно-методический центр по гражданской обороне, чрезвычайным ситуациям и пожарной безопасности Сар</t>
  </si>
  <si>
    <t>272000.06.01</t>
  </si>
  <si>
    <t>История и философия науки: Уч.пос. / С.И.Платонова - М.:ИЦ РИОР, НИЦ ИНФРА-М,2024.-148 с.(ВО)(О)</t>
  </si>
  <si>
    <t>978-5-369-01547-6</t>
  </si>
  <si>
    <t>094380.11.01</t>
  </si>
  <si>
    <t>История и философия науки: Уч.пос. / С.К.Булдаков - М.:ИЦ РИОР, НИЦ ИНФРА-М,2024 - 141с.(О)</t>
  </si>
  <si>
    <t>Булдаков С. К.</t>
  </si>
  <si>
    <t>978-5-369-00329-9</t>
  </si>
  <si>
    <t>01.06.01, 02.06.01, 03.06.01, 04.06.01, 05.06.01, 06.06.01, 07.06.01, 08.06.01, 09.06.01, 10.06.01, 11.06.01, 12.06.01, 13.06.01, 14.06.01, 15.06.01, 16.06.01, 17.06.01, 20.06.01, 21.06.01, 21.06.02, 22.06.01, 23.06.01, 24.06.01, 25.06.01, 26.06.01, 27.06.01, 28.06.01, 29.06.01, 30.06.01, 31.06.01, 33.06.01, 35.06.01, 35.06.02, 35.06.03, 35.06.04, 36.06.01, 37.06.01, 38.06.01, 39.06.01, 40.06.01, 42.06.01, 44.06.01, 46.06.01, 47.06.01, 48.06.01, 49.06.01, 50.06.01, 51.06.01</t>
  </si>
  <si>
    <t>Костромской государственный университет</t>
  </si>
  <si>
    <t>419100.10.01</t>
  </si>
  <si>
    <t>История и философия науки: Уч.пос. / Э.В.Островский - 2 изд. -М.:Вуз.уч., НИЦ ИНФРА-М,2024-323 с.(П)</t>
  </si>
  <si>
    <t>ИСТОРИЯ И ФИЛОСОФИЯ НАУКИ, ИЗД.2</t>
  </si>
  <si>
    <t>Островский Э. В.</t>
  </si>
  <si>
    <t>Высшее образование: Магистратура (ФУ)</t>
  </si>
  <si>
    <t>978-5-9558-0534-4</t>
  </si>
  <si>
    <t>46.03.01, 46.04.01, 46.04.02, 47.03.01, 47.04.01</t>
  </si>
  <si>
    <t>776954.02.01</t>
  </si>
  <si>
    <t>История изуч. старообрядческого духовного стиха: Моногр. / Н.С.Мурашова-М.:НИЦ ИНФРА-М,2024.-176 с.(О)</t>
  </si>
  <si>
    <t>ИСТОРИЯ ИЗУЧЕНИЯ СТАРООБРЯДЧЕСКОГО ДУХОВНОГО СТИХА В КОНТЕКСТЕ ИССЛЕДОВАНИЯ ХУДОЖЕСТВЕННОЙ СИСТЕМЫ ВНЕБОГОСЛУЖЕБНОГО ДУХОВНОГО ПЕНИЯ</t>
  </si>
  <si>
    <t>Мурашова Н.С.</t>
  </si>
  <si>
    <t>978-5-16-017690-1</t>
  </si>
  <si>
    <t>45.03.01, 45.04.01, 48.03.01, 48.04.01, 51.04.01, 53.04.06, 53.05.05</t>
  </si>
  <si>
    <t>741149.01.01</t>
  </si>
  <si>
    <t>История искусств: уч.пос. / А.У.Самогаева-М.:НИЦ ИНФРА-М,2024.-217 с..-(СПО)(п)</t>
  </si>
  <si>
    <t>ИСТОРИЯ ИСКУССТВ</t>
  </si>
  <si>
    <t>Самогаева А.У.</t>
  </si>
  <si>
    <t>978-5-16-016566-0</t>
  </si>
  <si>
    <t>54.02.02</t>
  </si>
  <si>
    <t>425650.08.01</t>
  </si>
  <si>
    <t>История культуры: от Возрождения до модерна: Уч. пос. / Н.С.Креленко-М.:НИЦ ИНФРА-М,2024-320с(ВО)(п)</t>
  </si>
  <si>
    <t>ИСТОРИЯ КУЛЬТУРЫ: ОТ ВОЗРОЖДЕНИЯ ДО МОДЕРНА</t>
  </si>
  <si>
    <t>Креленко Н. С.</t>
  </si>
  <si>
    <t>978-5-16-006591-5</t>
  </si>
  <si>
    <t>51.03.01, 51.04.01</t>
  </si>
  <si>
    <t>682939.05.01</t>
  </si>
  <si>
    <t>История культуры: от Возрождения до модерна: Уч.пос. / Н.С.Креленко-М.:НИЦ ИНФРА-М,2024.-320 с.(СПО)(П)</t>
  </si>
  <si>
    <t>Креленко Н.С.</t>
  </si>
  <si>
    <t>978-5-16-013944-9</t>
  </si>
  <si>
    <t>52.02.01, 52.02.02, 52.02.03, 52.02.04, 52.02.05, 53.02.01, 53.02.02, 53.02.03, 53.02.04, 53.02.05, 53.02.06, 53.02.07, 53.02.08, 53.02.09, 54.01.01, 54.01.02, 54.01.05, 54.01.06, 54.01.08, 54.01.09, 54.01.12, 54.01.13, 54.01.14, 54.01.15, 54.01.16, 54.01.17, 54.01.18, 54.01.19, 54.01.20, 54.02.01, 54.02.02, 54.02.03, 54.02.04, 54.02.05, 54.02.06, 54.02.07, 54.02.08</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</si>
  <si>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гуманитарным специальностям</t>
  </si>
  <si>
    <t>318500.05.01</t>
  </si>
  <si>
    <t>История межд. отношений и внеш. политики России в Новое..: Уч.пос. / М.Ю.Золотухин - М.:НИЦ ИНФРА-М,2022-272с(П)</t>
  </si>
  <si>
    <t>ИСТОРИЯ МЕЖДУНАРОДНЫХ ОТНОШЕНИЙ И ВНЕШНЕЙ ПОЛИТИКИ РОССИИ В НОВОЕ ВРЕМЯ (XIX ВЕК)</t>
  </si>
  <si>
    <t>М.Ю.Золотухин, В.А.Георгиев, Н.Г.Георгиева</t>
  </si>
  <si>
    <t>978-5-16-010410-2</t>
  </si>
  <si>
    <t>44.03.01, 46.03.01</t>
  </si>
  <si>
    <t>420750.05.01</t>
  </si>
  <si>
    <t>История международных отношений и внешняя: Уч.пос. / М.Ю.Золотухин - М.:НИЦ ИНФРА-М,2022 - 351 с.(ВО)(П)</t>
  </si>
  <si>
    <t>ИСТОРИЯ МЕЖДУНАРОДНЫХ ОТНОШЕНИЙ И ВНЕШНЯЯ ПОЛИТИКА РОССИИ В НОВОЕ ВРЕМЯ. XVI - НАЧАЛО XIX ВЕКА</t>
  </si>
  <si>
    <t>978-5-16-006552-6</t>
  </si>
  <si>
    <t>41.03.01, 41.03.04, 41.03.05, 41.03.06, 41.04.05, 46.03.01</t>
  </si>
  <si>
    <t>Рекомендовано УМО по образованию в области подготовки педагогических кадров в качестве учебного пособия для студентов высших учебных заведений, обучающихся по направлению 44.03.01 «Педагогическое образование»</t>
  </si>
  <si>
    <t>394900.07.01</t>
  </si>
  <si>
    <t>История мировых цивилизаций: Уч. пос. / Г.В.Драч - 8 изд. - М.:ИЦ РИОР, НИЦ ИНФРА-М,2023 - 320 с(ВО)</t>
  </si>
  <si>
    <t>ИСТОРИЯ МИРОВЫХ ЦИВИЛИЗАЦИЙ, ИЗД.8</t>
  </si>
  <si>
    <t>Драч Г.В.</t>
  </si>
  <si>
    <t>978-5-369-01459-2</t>
  </si>
  <si>
    <t>44.03.01, 44.03.05, 46.03.01, 46.04.01, 47.03.01, 47.03.03, 50.03.01, 51.03.04</t>
  </si>
  <si>
    <t>Рекомендовано научно-методическим советом по культурологии Министерства образования и науки РФ в качестве учебного пособия для студентов высших учебных заведений</t>
  </si>
  <si>
    <t>0816</t>
  </si>
  <si>
    <t>682940.02.01</t>
  </si>
  <si>
    <t>История мировых цивилизаций: Уч.пос./ Под ред. Драч Г.В.-М.:ИЦ РИОР, НИЦ ИНФРА-М,2023-320 с.(СПО)(П)</t>
  </si>
  <si>
    <t>ИСТОРИЯ МИРОВЫХ ЦИВИЛИЗАЦИЙ</t>
  </si>
  <si>
    <t>978-5-369-01769-2</t>
  </si>
  <si>
    <t>51.00.00, 00.01.03, 00.02.04, 51.02.02</t>
  </si>
  <si>
    <t>786390.01.01</t>
  </si>
  <si>
    <t>История нем. лит. рубежа XX-XXI в. Проза и...: Уч.пос. / Д.А.Чугунов-М.:НИЦ ИНФРА-М,2024.-263 с.(ВО)(п)</t>
  </si>
  <si>
    <t>ИСТОРИЯ НЕМЕЦКОЙ ЛИТЕРАТУРЫ РУБЕЖА XX-XXI ВЕКОВ. ПРОЗА И ПОЭЗИЯ</t>
  </si>
  <si>
    <t>978-5-16-017940-7</t>
  </si>
  <si>
    <t>708850.04.01</t>
  </si>
  <si>
    <t>История общественно-полит. мысли России: Уч.пос. / В.Э.Багдасарян - М.:НИЦ ИНФРА-М,2024-247с(ВО)(п)</t>
  </si>
  <si>
    <t>ИСТОРИЯ ОБЩЕСТВЕННО-ПОЛИТИЧЕСКОЙ МЫСЛИ РОССИИ</t>
  </si>
  <si>
    <t>Багдасарян В.Э.</t>
  </si>
  <si>
    <t>978-5-16-018947-5</t>
  </si>
  <si>
    <t>41.03.04, 41.03.06</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</si>
  <si>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41.03.04 «Политология», 46.03.01 «История», 44.03.01 «Педагогическое образование» (квалификация (степень) «бакалавр») (протокол № 13 от 16.09.2019)</t>
  </si>
  <si>
    <t>682658.01.01</t>
  </si>
  <si>
    <t>История отеч. элитологической мысли: Энц. сл. / Под ред. Карабущенко П.Л.-М.:НИЦ ИНФРА-М,2024.-676 с. (п)</t>
  </si>
  <si>
    <t>ИСТОРИЯ ОТЕЧЕСТВЕННОЙ ЭЛИТОЛОГИЧЕСКОЙ МЫСЛИ</t>
  </si>
  <si>
    <t>Баранов Н.А., Баранов А.В., Бобылев В.В. и др.</t>
  </si>
  <si>
    <t>978-5-16-014656-0</t>
  </si>
  <si>
    <t>Энциклопедический словарь</t>
  </si>
  <si>
    <t>00.03.07, 41.04.04, 41.06.01</t>
  </si>
  <si>
    <t>426300.09.01</t>
  </si>
  <si>
    <t>История политических учений: Уч.пос. / А.И.Демидов - М.:Юр.Норма,НИЦ ИНФРА-М,2024 - 432 с.(п)</t>
  </si>
  <si>
    <t>ИСТОРИЯ ПОЛИТИЧЕСКИХ УЧЕНИЙ</t>
  </si>
  <si>
    <t>Демидов А. И., Бичехвост А. Ф., Алексеева Т. А., Демидов А. И.</t>
  </si>
  <si>
    <t>978-5-91768-342-3</t>
  </si>
  <si>
    <t>40.03.01, 40.04.01, 41.03.04, 41.03.06, 44.03.05</t>
  </si>
  <si>
    <t>Саратовская государственная юридическая академия</t>
  </si>
  <si>
    <t>155950.08.01</t>
  </si>
  <si>
    <t>История путешествий. Античная эпоха / И.Ю.Булкин - М.:Форум,2023 - 240 с.(П)</t>
  </si>
  <si>
    <t>ИСТОРИЯ ПУТЕШЕСТВИЙ. АНТИЧНАЯ ЭПОХА</t>
  </si>
  <si>
    <t>Булкин И. Ю.</t>
  </si>
  <si>
    <t>978-5-91134-528-0</t>
  </si>
  <si>
    <t>Общее</t>
  </si>
  <si>
    <t>43.03.02, 43.04.02, 46.03.01, 46.04.01</t>
  </si>
  <si>
    <t>Саратовский государственный технический университет им. Гагарина Ю.А.</t>
  </si>
  <si>
    <t>633722.07.01</t>
  </si>
  <si>
    <t>История религий мира: Уч. / Под общ.ред. И.Г.Палий - М.:ИЦ РИОР, НИЦ ИНФРА-М,2024 - 375 с.(ВО)(п)</t>
  </si>
  <si>
    <t>ИСТОРИЯ РЕЛИГИЙ МИРА</t>
  </si>
  <si>
    <t>Палий И.Г., Богданова О.А., Васечко В.Ю. и др.</t>
  </si>
  <si>
    <t>978-5-369-01586-5</t>
  </si>
  <si>
    <t>37.03.01, 39.03.02, 42.03.01, 42.03.02, 42.03.04, 44.03.05, 47.03.01, 47.03.03, 48.03.01, 50.04.04, 51.03.01, 51.03.03, 51.03.04, 51.04.04, 54.03.04</t>
  </si>
  <si>
    <t>639536.06.01</t>
  </si>
  <si>
    <t>История религий: Уч. / К.А.Соловьев - М.:Вуз.уч.,НИЦ ИНФРА-М,2024 - 480 с.-(ВО)(п)</t>
  </si>
  <si>
    <t>ИСТОРИЯ РЕЛИГИЙ</t>
  </si>
  <si>
    <t>Соловьев К.А.</t>
  </si>
  <si>
    <t>978-5-9558-0532-0</t>
  </si>
  <si>
    <t>44.03.05, 47.03.03, 47.04.03, 48.03.01, 50.03.03, 50.03.04, 50.04.03, 50.04.04, 51.03.01</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</si>
  <si>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направлениям подготовки 50.03.03 «История искусств», 50.03.04 «Теория и история искусств» (квалификация (степень) «бакалавр») (протокол № 14 от 30.09.2019)</t>
  </si>
  <si>
    <t>141900.10.01</t>
  </si>
  <si>
    <t>История религий: Уч. пос. / Е.Б. Ерина - М.: ИЦ РИОР: ИНФРА-М, 2023 - 175 с. (ПО) (п)</t>
  </si>
  <si>
    <t>Ерина Е. Б.</t>
  </si>
  <si>
    <t>978-5-369-00570-5</t>
  </si>
  <si>
    <t>44.03.01, 44.03.04, 44.03.05, 46.03.01, 47.03.03, 48.03.01, 51.03.01, 51.03.04, 54.03.04</t>
  </si>
  <si>
    <t>Рекомендовано Федеральным государственным учреждением "Федеральный институт развития образования" в кач-ве учеб. пос. для использов. в учеб. проц. образоват. учреждений, реал. прогр. сред. проф. образов. по специальности 050401 "История"</t>
  </si>
  <si>
    <t>Государственный морской университет им. адмирала Ф.Ф. Ушакова</t>
  </si>
  <si>
    <t>476050.05.01</t>
  </si>
  <si>
    <t>История римской культуры: Уч.пос. / Ю.Б.Циркин-М.:НИЦ ИНФРА-М,2023.-336 с..-(ВО: Бакалавриат)(п)</t>
  </si>
  <si>
    <t>ИСТОРИЯ РИМСКОЙ КУЛЬТУРЫ</t>
  </si>
  <si>
    <t>Циркин Ю.Б.</t>
  </si>
  <si>
    <t>978-5-16-010216-0</t>
  </si>
  <si>
    <t>Новгородский государственный университет им. Ярослава Мудрого</t>
  </si>
  <si>
    <t>415700.08.01</t>
  </si>
  <si>
    <t>История России (1985 - 2008 г.): Уч.пос. / Г.И.Герасимов - М.:ИЦ РИОР, НИЦ ИНФРА-М,2024 - 315 с.(ВО)(П)</t>
  </si>
  <si>
    <t>ИСТОРИЯ РОССИИ (1985 - 2008 ГОДЫ)</t>
  </si>
  <si>
    <t>Герасимов Г. И.</t>
  </si>
  <si>
    <t>978-5-369-00753-2</t>
  </si>
  <si>
    <t>00.03.04, 00.05.04, 46.03.01</t>
  </si>
  <si>
    <t>Институт общественного проектирования</t>
  </si>
  <si>
    <t>777031.02.01</t>
  </si>
  <si>
    <t>История России IX - нач. XXI в.: Уч.пос. / Е.В.Воейков-М.:НИЦ ИНФРА-М,2024-493с.(ВО (Фин. университет))(п)</t>
  </si>
  <si>
    <t>ИСТОРИЯ РОССИИ IX - НАЧАЛА XXI ВЕКА</t>
  </si>
  <si>
    <t>Воейков Е.В.</t>
  </si>
  <si>
    <t>978-5-16-017712-0</t>
  </si>
  <si>
    <t>00.03.04, 00.05.04</t>
  </si>
  <si>
    <t>646262.07.01</t>
  </si>
  <si>
    <t>История России. XVIII — начала XX века: Уч. / М.Ю.Лачаева и др.-М:НИЦ ИНФРА-М,2024-648с(ВО: Бак.)(П)</t>
  </si>
  <si>
    <t>ИСТОРИЯ РОССИИ. XVIII — НАЧАЛА XX ВЕКА</t>
  </si>
  <si>
    <t>Лачаева М.Ю., Ляшенко Л.М., Воронин В.Е. и др.</t>
  </si>
  <si>
    <t>978-5-16-012874-0</t>
  </si>
  <si>
    <t>00.03.04, 00.05.04, 46.03.01, 50.03.03</t>
  </si>
  <si>
    <t>Рекомендовано в качестве учебника для студентов высших учебных заведений, обучающихся по направлениям подготовки 46.03.01 «История», 50.03.03 «История искусств» (квалификация (степень) «бакалавр»)</t>
  </si>
  <si>
    <t>712207.08.01</t>
  </si>
  <si>
    <t>История России. Вызовы эпохи Романовых: Уч.пос. / М.В.Жеребкин-М.:НИЦ ИНФРА-М,2024.-456 с.(ВО)(п)</t>
  </si>
  <si>
    <t>ИСТОРИЯ РОССИИ. ВЫЗОВЫ ЭПОХИ РОМАНОВЫХ</t>
  </si>
  <si>
    <t>Жеребкин М.В.</t>
  </si>
  <si>
    <t>Высшее образование: Бакалавриат (КрымФУ)</t>
  </si>
  <si>
    <t>978-5-16-015409-1</t>
  </si>
  <si>
    <t>00.03.04, 46.03.01</t>
  </si>
  <si>
    <t>Рекомендовано Ученым советом федерального государственного автономного образовательного учреждения высшего образования «Крымский федеральный университет имени В.И. Вернадского» в качестве учебного пособия для обучающихся по направлению подготовки 46.03.01 «История»</t>
  </si>
  <si>
    <t>667200.08.01</t>
  </si>
  <si>
    <t>История России. Вызовы эпохи Рюриковичей: Уч.пос. / М.В.Жеребкин-М.:Вуз.уч.,НИЦ ИНФРА-М,2024-356с(П)</t>
  </si>
  <si>
    <t>ИСТОРИЯ РОССИИ. ВЫЗОВЫ ЭПОХИ РЮРИКОВИЧЕЙ</t>
  </si>
  <si>
    <t>Крымский федеральный университет 100 лет</t>
  </si>
  <si>
    <t>978-5-9558-0601-3</t>
  </si>
  <si>
    <t>Рекомендовано в качестве учебного пособия для студентов высших учебных заведений, обучающихся по направлению подготовки 46.03.01«История» (квалификация (степень) «бакалавр»)</t>
  </si>
  <si>
    <t>658020.04.01</t>
  </si>
  <si>
    <t>История России: Уч. / Б.Н.Земцов - 2 изд. - М.:НИЦ ИНФРА-М,2024 - 584 с.(ВО)(п)</t>
  </si>
  <si>
    <t>ИСТОРИЯ РОССИИ, ИЗД.2</t>
  </si>
  <si>
    <t>Земцов Б.Н., Шубин А.В., Данилевский И.Н.</t>
  </si>
  <si>
    <t>978-5-16-018656-6</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</si>
  <si>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основным образовательным программам высшего образования по направлениям подготовки бакалавриата (протокол № 6 от 16.06.2021)</t>
  </si>
  <si>
    <t>0222</t>
  </si>
  <si>
    <t>003347.28.01</t>
  </si>
  <si>
    <t>История России: Уч. / Ш.М. Мунчаев - 7 изд. - М.: Норма:НИЦ ИНФРА-М,2023 - 512 с. (п)</t>
  </si>
  <si>
    <t>ИСТОРИЯ РОССИИ, ИЗД.7</t>
  </si>
  <si>
    <t>Мунчаев Ш.М.</t>
  </si>
  <si>
    <t>978-5-91768-930-2</t>
  </si>
  <si>
    <t>13.02.07</t>
  </si>
  <si>
    <t>0718</t>
  </si>
  <si>
    <t>126550.11.01</t>
  </si>
  <si>
    <t>История России: Уч.-практ.пос. / Е.И.Нестеренко - М.:Вуз.уч.,НИЦ ИНФРА-М,2024-296с.(п)</t>
  </si>
  <si>
    <t>ИСТОРИЯ РОССИИ</t>
  </si>
  <si>
    <t>Нестеренко Е. И., Петухова Н. Е., Пляйс Я. А.</t>
  </si>
  <si>
    <t>978-5-9558-0138-4</t>
  </si>
  <si>
    <t>Учебно-практическое пособие</t>
  </si>
  <si>
    <t>Рекомендовано УМО по образованию в области финансов, учета и мировой экономики в качестве учебно-практического пособия для студентов, обучающихся по специальностям «Бухгалтерский учет, анализ и аудит», «Финансы и кредит», «Мировая экономика» и «Налоги и налогооблажение»</t>
  </si>
  <si>
    <t>0110</t>
  </si>
  <si>
    <t>148200.08.01</t>
  </si>
  <si>
    <t>История российского туризма (IX-XX вв.): Уч.пос. / А.А.Иванов - М.:Форум, НИЦ ИНФРА-М,2024 - 320 с(ВО)(П)</t>
  </si>
  <si>
    <t>ИСТОРИЯ РОССИЙСКОГО ТУРИЗМА (IX-XX ВВ.)</t>
  </si>
  <si>
    <t>Иванов А. А.</t>
  </si>
  <si>
    <t>978-5-00091-760-2</t>
  </si>
  <si>
    <t>Рекомендовано в качестве учебного пособия для студентов высших учебных заведений, обучающихся по направлению подготовки 43.03.02 «Туризм» (квалификация (степень) «бакалавр»)</t>
  </si>
  <si>
    <t>Санкт-Петербургский Государственный Университет Ветеринарной Медицины</t>
  </si>
  <si>
    <t>682943.02.01</t>
  </si>
  <si>
    <t>История российского туризма (IX-XX вв.): Уч.пос. / А.А.Иванов-М.:Форум, НИЦ ИНФРА-М,2023-320с(СПО)(П)</t>
  </si>
  <si>
    <t>Иванов А.А.</t>
  </si>
  <si>
    <t>978-5-00091-548-6</t>
  </si>
  <si>
    <t>43.02.16</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</si>
  <si>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43.02.10 «Туризм», 43.02.11 «Гостиничный сервис» (протокол № 10 от 27.05.2019)</t>
  </si>
  <si>
    <t>682944.07.01</t>
  </si>
  <si>
    <t>История рус. культуры IX-нач.XXIв.: Уч.пос. /Под ред.Кошмана Л.В-5 изд.-М.:НИЦ ИНФРА-М,2024-432с.(СПО)</t>
  </si>
  <si>
    <t>ИСТОРИЯ РУССКОЙ КУЛЬТУРЫ IX - НАЧАЛА XXI ВЕКА, ИЗД.5</t>
  </si>
  <si>
    <t>Кошман Л.В., Сысоева Е.К., Зезина М.Р. и др.</t>
  </si>
  <si>
    <t>978-5-16-013948-7</t>
  </si>
  <si>
    <t>44.02.01, 44.02.02, 44.02.03, 44.02.06, 50.02.01, 51.02.01, 51.02.02, 51.02.03</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</si>
  <si>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44.02.01 «Дошкольное образование», 44.02.02 «Преподавание в начальных классах», 44.02.03 «Педагогика дополнительного образования», 44.02.06 «Профессиональное обучение (по отраслям)», 50.02.01 «Мировая художественная культура», 51.02.01 «Народное художественное творчество (по видам)», 51.02.02 «Социально-культурная деятельность (по видам)», 51.02.03 «Библиотековедение»</t>
  </si>
  <si>
    <t>0518</t>
  </si>
  <si>
    <t>662719.07.01</t>
  </si>
  <si>
    <t>История рус. лит.: от Средневековья до эпохи..: Уч. / Под ред. Мескина В.А.-М.:НИЦ ИНФРА-М,2024.-300 с.(П)</t>
  </si>
  <si>
    <t>ИСТОРИЯ РУССКОЙ ЛИТЕРАТУРЫ: ОТ СРЕДНЕВЕКОВЬЯ ДО ЭПОХИ МОДЕРНИЗМА (ПРОПЕДЕВТИЧЕСКИЙ КУРС)</t>
  </si>
  <si>
    <t>Мескин В.А., Гаврильченко О.В., Городилова Н.И. и др.</t>
  </si>
  <si>
    <t>978-5-16-018650-4</t>
  </si>
  <si>
    <t>44.03.01, 44.03.02, 44.03.04, 44.03.05, 50.03.01, 51.03.01, 51.03.02, 51.03.03, 51.03.04, 51.03.05, 51.03.06, 52.03.04, 52.03.05</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</si>
  <si>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нефилологическим направлениям подготовки (квалификация (степень) «бакалавр») (протокол № 8 от 22.06.2020)</t>
  </si>
  <si>
    <t>682945.04.01</t>
  </si>
  <si>
    <t>История рус. материальной культуры: Уч.пос. /Л.В.Беловинский-2изд-М.:Форум,НИЦ ИНФРА-М,2023-512(СПО)</t>
  </si>
  <si>
    <t>ИСТОРИЯ РУССКОЙ МАТЕРИАЛЬНОЙ КУЛЬТУРЫ, ИЗД.2</t>
  </si>
  <si>
    <t>Беловинский Л.В.</t>
  </si>
  <si>
    <t>978-5-00091-575-2</t>
  </si>
  <si>
    <t>44.02.03, 44.02.06, 50.02.01, 51.02.01, 51.02.02, 51.02.03</t>
  </si>
  <si>
    <t>Учебное пособие для студентов высших учебных заведений, обучающихся по направлению подготовки «Музеология и охрана объектов культурного и природного наследия»</t>
  </si>
  <si>
    <t>208600.10.01</t>
  </si>
  <si>
    <t>История русской культуры IX - начала XXI в.: Уч. пос. /Л.В.Кошман - 5 изд. - ИНФРА-М, 2024-432с.(ВО)(п)</t>
  </si>
  <si>
    <t>Кошман Л. В., Сысоева Е. К., Зезина М. Р., Шульгин В. С.</t>
  </si>
  <si>
    <t>978-5-16-006060-6</t>
  </si>
  <si>
    <t>42.03.04, 45.03.01, 46.03.01, 50.03.01, 50.03.03, 50.03.04, 51.03.01, 51.03.02, 51.03.03, 51.03.04, 51.04.01</t>
  </si>
  <si>
    <t>Допущено Учебно-методическим объединением по классическому университетскому образованию в качестве учебного пособия для студентов высших учебных заведений, обучающихся по направлению подготовки 030600 «История»</t>
  </si>
  <si>
    <t>0514</t>
  </si>
  <si>
    <t>345400.07.01</t>
  </si>
  <si>
    <t>История русской культуры: Уч.пос. / Н.В.Синявина - М.:НИЦ ИНФРА-М,2023.-316 с.(ВО: Бакалавриат)(П)</t>
  </si>
  <si>
    <t>ИСТОРИЯ РУССКОЙ КУЛЬТУРЫ</t>
  </si>
  <si>
    <t>Синявина Н.В.</t>
  </si>
  <si>
    <t>978-5-16-010803-2</t>
  </si>
  <si>
    <t>51.03.01, 51.03.02</t>
  </si>
  <si>
    <t>Рекомендовано в качестве учебного пособия для студентов высших учебных заведений, обучающихся по гуманитарным направлениям подготовки (квалификация (степень) «бакалавр»)</t>
  </si>
  <si>
    <t>764640.01.01</t>
  </si>
  <si>
    <t>История русской лит. конца XIX - нач. ХХ в. Серебр. век.: Уч. / В.А.Мескин-М.:НИЦ ИНФРА-М,2024.-410 с.(ВО)(п)</t>
  </si>
  <si>
    <t>ИСТОРИЯ РУССКОЙ ЛИТЕРАТУРЫ КОНЦА XIX - НАЧАЛА ХХ ВЕКА. СЕРЕБРЯНЫЙ ВЕК.</t>
  </si>
  <si>
    <t>Мескин В.А.</t>
  </si>
  <si>
    <t>978-5-16-018045-8</t>
  </si>
  <si>
    <t>44.03.05, 45.03.01</t>
  </si>
  <si>
    <t>200900.07.01</t>
  </si>
  <si>
    <t>История русской литературы XX в.: Уч. / В.Д.Серафимова -М.:НИЦ ИНФРА-М,2021.-540 с(ВО: Бакалавр.)(П)</t>
  </si>
  <si>
    <t>ИСТОРИЯ РУССКОЙ ЛИТЕРАТУРЫ XX ВЕКА</t>
  </si>
  <si>
    <t>Серафимова В. Д.</t>
  </si>
  <si>
    <t>978-5-16-005635-7</t>
  </si>
  <si>
    <t>200900.10.01</t>
  </si>
  <si>
    <t>История русской литературы XX--XXI в.: Уч. / В.Д.Серафимова - 2 изд. -М.:НИЦ ИНФРА-М,2022 - 547с.(ВО: Бакалавр.)(П)</t>
  </si>
  <si>
    <t>ИСТОРИЯ РУССКОЙ ЛИТЕРАТУРЫ XX--XXI ВЕКОВ, ИЗД.2</t>
  </si>
  <si>
    <t>Серафимова В.Д.</t>
  </si>
  <si>
    <t>978-5-16-016408-3</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</si>
  <si>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гуманитарным направлениям подготовки (квалификация (степень) «бакалавр») (протокол № 9 от 28.09.2020)</t>
  </si>
  <si>
    <t>200900.15.01</t>
  </si>
  <si>
    <t>История русской литературы XX--XXI в.: Уч. / В.Д.Серафимова, - 3 изд.,-М.:НИЦ ИНФРА-М,2023.-547 с.(П)</t>
  </si>
  <si>
    <t>ИСТОРИЯ РУССКОЙ ЛИТЕРАТУРЫ XX--XXI ВЕКОВ, ИЗД.3</t>
  </si>
  <si>
    <t>978-5-16-018639-9</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</si>
  <si>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гуманитарным направлениям подготовки (квалификация (степень) «бакалавр») (протокол № 6 от 08.06.2022)</t>
  </si>
  <si>
    <t>0323</t>
  </si>
  <si>
    <t>377700.08.01</t>
  </si>
  <si>
    <t>История русской материальной культуры: Уч. пос. / Л.В.Беловинский - 2 изд.-М.:Форум, НИЦ ИНФРА-М,2023.-512 с.(П)</t>
  </si>
  <si>
    <t>978-5-00091-098-6</t>
  </si>
  <si>
    <t>00.03.05, 00.05.05, 44.03.05, 50.03.03, 50.04.03, 51.03.01, 51.03.02, 51.03.03, 51.03.04</t>
  </si>
  <si>
    <t>217600.08.01</t>
  </si>
  <si>
    <t>История русской философии: Уч. / Под общ. ред. М.А.Маслина - 3 изд. - М.:НИЦ ИНФРА-М, 2024-640с.(ВО) (п)</t>
  </si>
  <si>
    <t>ИСТОРИЯ РУССКОЙ ФИЛОСОФИИ, ИЗД.3</t>
  </si>
  <si>
    <t>Маслин М. А.</t>
  </si>
  <si>
    <t>978-5-16-006923-4</t>
  </si>
  <si>
    <t>Рекомендовано Учебно-методическим советом по философии, политологии и религиоведению Учебно-методического объединения по классическому университетскому образованию в качестве учебника для студентов высших учебных заведений</t>
  </si>
  <si>
    <t>0313</t>
  </si>
  <si>
    <t>236500.09.01</t>
  </si>
  <si>
    <t>История семьи в истории Отечества: Уч.пос. / И.Н.Извеков - М.:НИЦ ИНФРА-М,2024-169 с.-(П)</t>
  </si>
  <si>
    <t>ИСТОРИЯ СЕМЬИ В ИСТОРИИ ОТЕЧЕСТВА: ГЕНЕАЛОГИЯ В УЧЕБНОМ ПРОЦЕССЕ ВЫСШЕЙ ШКОЛЫ</t>
  </si>
  <si>
    <t>Извеков И.Н.</t>
  </si>
  <si>
    <t>978-5-16-009158-7</t>
  </si>
  <si>
    <t>Международный инновационный университет</t>
  </si>
  <si>
    <t>315500.06.01</t>
  </si>
  <si>
    <t>История Сов.государства: становление, развитие.../ Ш.М.Мунчаев - М.:Юр.Норма, НИЦ ИНФРА-М,2024-304с(П)</t>
  </si>
  <si>
    <t>ИСТОРИЯ СОВЕТСКОГО ГОСУДАРСТВА: СТАНОВЛЕНИЕ, РАЗВИТИЕ, ПАДЕНИЕ</t>
  </si>
  <si>
    <t>978-5-91768-849-7</t>
  </si>
  <si>
    <t>035600.11.01</t>
  </si>
  <si>
    <t>История Советского государства / Ш.М. Мунчаев, В.М. Устинов. - 2 изд. - М.: НОРМА, 2024-720с. (п)</t>
  </si>
  <si>
    <t>ИСТОРИЯ СОВЕТСКОГО ГОСУДАРСТВА, ИЗД.2</t>
  </si>
  <si>
    <t>Мунчаев Ш. М., Устинов В. М.</t>
  </si>
  <si>
    <t>175250.07.01</t>
  </si>
  <si>
    <t>История соц. философии. Курс лекций: Уч. пос./Д.Э.Гаспарян - М.:Вуз. учеб.:НИЦ ИНФРА-М, 2023-166с (п)</t>
  </si>
  <si>
    <t>ИСТОРИЯ СОЦИАЛЬНОЙ ФИЛОСОФИИ. КУРС ЛЕКЦИЙ</t>
  </si>
  <si>
    <t>Гаспарян Д. Э.</t>
  </si>
  <si>
    <t>978-5-9558-0237-4</t>
  </si>
  <si>
    <t>44.03.05, 46.03.01, 46.04.01, 47.03.01, 47.04.01</t>
  </si>
  <si>
    <t>683167.02.01</t>
  </si>
  <si>
    <t>История социальной работы: Уч.пос. / В.Д.Ширшов - М.:НИЦ ИНФРА-М,2023 - 269 с.-(ВО: Бакалавр.)(П)</t>
  </si>
  <si>
    <t>ИСТОРИЯ СОЦИАЛЬНОЙ РАБОТЫ</t>
  </si>
  <si>
    <t>Ширшов В.Д.</t>
  </si>
  <si>
    <t>978-5-16-014540-2</t>
  </si>
  <si>
    <t>39.03.02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</si>
  <si>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39.03.02 «Социальная работа» (квалификация (степень) «бакалавр») (протокол № 18 от 25.11.2019)</t>
  </si>
  <si>
    <t>Уральский государственный педагогический университет</t>
  </si>
  <si>
    <t>475300.05.01</t>
  </si>
  <si>
    <t>История социальной работы: Уч.пос. / Ю.А.Шестаков-М.:ИЦ РИОР,НИЦ ИНФРА-М,2023-176с.(ВО:Бакалавр.)(п)</t>
  </si>
  <si>
    <t>Шестаков Ю.А.</t>
  </si>
  <si>
    <t>978-5-369-01510-0</t>
  </si>
  <si>
    <t>407100.08.01</t>
  </si>
  <si>
    <t>История социологии: Уч. / Е.И.Кукушкина - 2 изд. - М.: НИЦ Инфра-М, 2023 - 464с.(ВО: Бакалавриат) (п)</t>
  </si>
  <si>
    <t>ИСТОРИЯ СОЦИОЛОГИИ, ИЗД.2</t>
  </si>
  <si>
    <t>Кукушкина Е. И.</t>
  </si>
  <si>
    <t>978-5-16-005124-6</t>
  </si>
  <si>
    <t>39.03.01, 39.03.02, 39.03.03</t>
  </si>
  <si>
    <t>Рекомендовано УМО по классическому университетскому образованию в качестве учебника для студентов, обучающихся по направлению подготовки и специальности 020300 «Социология»</t>
  </si>
  <si>
    <t>120400.09.01</t>
  </si>
  <si>
    <t>История социологии: Уч. для вузов / Отв. ред. Г.В.Осипов - М.: Юр.Норма,НИЦ ИНФРА-М,2024.-1104 с.(П)</t>
  </si>
  <si>
    <t>ИСТОРИЯ СОЦИОЛОГИИ</t>
  </si>
  <si>
    <t>Осипов Г.В., Култыгин В.П.</t>
  </si>
  <si>
    <t>978-5-91768-007-1</t>
  </si>
  <si>
    <t>488950.05.01</t>
  </si>
  <si>
    <t>История социологии: Уч.пос. / В.В.Афанасьев - М.:НИЦ ИНФРА-М,2020 - 284 с.(ВО: Бакалавриат)(П)</t>
  </si>
  <si>
    <t>978-5-16-010699-1</t>
  </si>
  <si>
    <t>39.03.01, 44.03.01, 44.03.05</t>
  </si>
  <si>
    <t>Рекомендовано УМО по образованию в области подготовки педагогических кадров в качестве учебного пособия для студентов высших учебных заведений, обучающихся по направлению подготовки 44.03.01 «Педагогическое образование» (квалификация (степень) «бакалавр»)</t>
  </si>
  <si>
    <t>231500.03.01</t>
  </si>
  <si>
    <t>История среднегерманских земель в документах XIV-XVI веков: от средневековья к раннему новому: уч.пос. / В.А.Чиркин-М.:НИЦ ИНФРА-М,2019.-269 с.(Перепл</t>
  </si>
  <si>
    <t>ИСТОРИЯ СРЕДНЕГЕРМАНСКИХ ЗЕМЕЛЬ В ДОКУМЕНТАХ XIV-XVI ВЕКОВ: ОТ СРЕДНЕВЕКОВЬЯ К РАННЕМУ НОВОМУ</t>
  </si>
  <si>
    <t>Чиркин В.А.</t>
  </si>
  <si>
    <t>978-5-16-009078-8</t>
  </si>
  <si>
    <t>Удмуртский государственный университет</t>
  </si>
  <si>
    <t>153700.09.01</t>
  </si>
  <si>
    <t>История философии XIX - нач. XX в.: Уч. пос. / Г.И.Иконникова - М.: Вуз. уч., 2022-304с. (п)</t>
  </si>
  <si>
    <t>ИСТОРИЯ ФИЛОСОФИИ XIX - НАЧАЛА XX ВЕКА</t>
  </si>
  <si>
    <t>Иконникова Г. И., Иконникова Н. И.</t>
  </si>
  <si>
    <t>978-5-9558-0201-5</t>
  </si>
  <si>
    <t>Рекомендовано РФ Научно-методическим советом по заочному экономическому  образованию в качестве учебного пособия для студентов ВУЗ, обучающихся по нефилософским специальностям</t>
  </si>
  <si>
    <t>419350.05.01</t>
  </si>
  <si>
    <t>История философии второй половины XIX-нач. ХХ в. Избр. гл.: Уч. пос./Е.В.Фалев-ИНФРА-М, 2024-217с. (п)</t>
  </si>
  <si>
    <t>ИСТОРИЯ ФИЛОСОФИИ ВТОРОЙ ПОЛОВИНЫ XIX - НАЧАЛА ХХ ВЕКА. ИЗБРАННЫЕ ГЛАВЫ</t>
  </si>
  <si>
    <t>Фалев Е. В.</t>
  </si>
  <si>
    <t>978-5-16-006533-5</t>
  </si>
  <si>
    <t>40.03.01, 44.03.01, 44.03.05, 47.04.01</t>
  </si>
  <si>
    <t>162000.09.01</t>
  </si>
  <si>
    <t>История философии: Уч. / С.А. Нижников. - М.: ИНФРА-М, 2024. - 336 с.(ВО) (п)</t>
  </si>
  <si>
    <t>ИСТОРИЯ ФИЛОСОФИИ</t>
  </si>
  <si>
    <t>Нижников С. А.</t>
  </si>
  <si>
    <t>978-5-16-004929-8</t>
  </si>
  <si>
    <t>669443.05.01</t>
  </si>
  <si>
    <t>История философии: Уч.пос. / В.А.Канке, - 4 изд.-М.:НИЦ ИНФРА-М,2024.-379 с..-(ВО: Бакалавриат)(П)</t>
  </si>
  <si>
    <t>ИСТОРИЯ ФИЛОСОФИИ, ИЗД.4</t>
  </si>
  <si>
    <t>978-5-16-013393-5</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</si>
  <si>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направлений подготовки 47.00.00 «Философия, этика и религиоведение» (квалификация (степень) «бакалавр») (протокол № 10 от 12.10.2020)</t>
  </si>
  <si>
    <t>0421</t>
  </si>
  <si>
    <t>486775.01.01</t>
  </si>
  <si>
    <t>История Франции / М. Ферро - М.: Весь Мир, 2015 - 832 с.+карты.(Национальная история) (п)</t>
  </si>
  <si>
    <t>ИСТОРИЯ ФРАНЦИИ</t>
  </si>
  <si>
    <t>Ферро М.</t>
  </si>
  <si>
    <t>Весь Мир</t>
  </si>
  <si>
    <t>Национальная история</t>
  </si>
  <si>
    <t>978-5-7777-0552-5</t>
  </si>
  <si>
    <t>768349.03.01</t>
  </si>
  <si>
    <t>История, философия и методология соц.-гуманитар. наук: Уч. / А.М.Орехов-М.:НИЦ ИНФРА-М,2023.-692 с.(П)</t>
  </si>
  <si>
    <t>ИСТОРИЯ, ФИЛОСОФИЯ И МЕТОДОЛОГИЯ СОЦИАЛЬНО-ГУМАНИТАРНЫХ НАУК</t>
  </si>
  <si>
    <t>978-5-16-017336-8</t>
  </si>
  <si>
    <t>47.00.00</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</si>
  <si>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социально-гуманитарным специальностям и направлениям подготовки (протокол № 5 от 11.05.2022)</t>
  </si>
  <si>
    <t>717626.06.01</t>
  </si>
  <si>
    <t>История: от древних цивилизаций до конца XX в.: Уч. / А.Б.Оришев - М.:ИЦ РИОР, НИЦ ИНФРА-М,2024 - 276с(П)</t>
  </si>
  <si>
    <t>ИСТОРИЯ: ОТ ДРЕВНИХ ЦИВИЛИЗАЦИЙ ДО КОНЦА XX В.</t>
  </si>
  <si>
    <t>Оришев А.Б., Тарасенко В.Н.</t>
  </si>
  <si>
    <t>978-5-369-01828-6</t>
  </si>
  <si>
    <t>00.01.03, 00.02.04, 00.03.04</t>
  </si>
  <si>
    <t>724890.04.01</t>
  </si>
  <si>
    <t>История: Уч. / А.Б.Оришев - М.:ИЦ РИОР, НИЦ ИНФРА-М,2024. - 276 с.(CПО)(п)</t>
  </si>
  <si>
    <t>ИСТОРИЯ</t>
  </si>
  <si>
    <t>978-5-369-01833-0</t>
  </si>
  <si>
    <t>00.01.03, 00.02.04, 13.02.05</t>
  </si>
  <si>
    <t>162600.21.01</t>
  </si>
  <si>
    <t>История: Уч.пос. / В.В.Касьянов - 2-е изд..-М.:НИЦ ИНФРА-М,2024.-550 с..-(СПО)(П)</t>
  </si>
  <si>
    <t>ИСТОРИЯ, ИЗД.2</t>
  </si>
  <si>
    <t>Касьянов В.В., Самыгин П.С., Самыгин С.И. и др.</t>
  </si>
  <si>
    <t>978-5-16-016200-3</t>
  </si>
  <si>
    <t>00.01.03, 00.02.04, 08.02.14, 13.02.05, 15.02.06, 15.02.09, 15.02.16, 25.02.06, 25.02.07, 26.02.03, 36.02.01, 43.02.15, 43.02.16, 43.02.17</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</si>
  <si>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на базе основного общего образования (протокол № 9 от 28.09.2020)</t>
  </si>
  <si>
    <t>697189.05.01</t>
  </si>
  <si>
    <t>История: Уч.пос. / Г.А.Трифонова - М.:НИЦ ИНФРА-М,2024 - 649 с.(СПО)(П)</t>
  </si>
  <si>
    <t>Трифонова Г.А., Супрунова Е.П., Пай С.С. и др.</t>
  </si>
  <si>
    <t>978-5-16-014652-2</t>
  </si>
  <si>
    <t>00.01.03, 00.02.04, 27.02.06</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</si>
  <si>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(протокол № 8 от 22.06.2020)</t>
  </si>
  <si>
    <t>Дальневосточный государственный технический рыбохозяйственный университет</t>
  </si>
  <si>
    <t>162600.16.01</t>
  </si>
  <si>
    <t>История: Уч.пос. / П.С.Самыгин и др. - М.:НИЦ ИНФРА-М,2020 - 528 с.-(СПО)(П)</t>
  </si>
  <si>
    <t>Самыгин П. С., Самыгин С. И., Шевелев В. Н., Шевелева Е. В.</t>
  </si>
  <si>
    <t>978-5-16-004507-8</t>
  </si>
  <si>
    <t>Рекомендовано в качестве учебного пособия для студентов образовательных учебных заведений, реализующих программы среднего профессионального образования</t>
  </si>
  <si>
    <t>656349.04.01</t>
  </si>
  <si>
    <t>История: Уч.пос. / Ю.А.Шестаков - М.:ИЦ РИОР, НИЦ ИНФРА-М,2023.-248 с..-(ВО)(П)</t>
  </si>
  <si>
    <t>978-5-369-01690-9</t>
  </si>
  <si>
    <t>693949.02.01</t>
  </si>
  <si>
    <t>Источники изучения международных отношений...: Моногр./ Л.О.Терновая-М.:НИЦ ИНФРА-М,2022-341с.(Науч.мысль)(П)</t>
  </si>
  <si>
    <t>ИСТОЧНИКИ ИЗУЧЕНИЯ МЕЖДУНАРОДНЫХ ОТНОШЕНИЙ: ПРОЕКЦИЯ  ВО ВРЕМЕНИ И ВЕЧНОСТИ</t>
  </si>
  <si>
    <t>978-5-16-014519-8</t>
  </si>
  <si>
    <t>160050.11.01</t>
  </si>
  <si>
    <t>Источниковедение новой и новейшей истории...: Уч.пос. / И.В.Григорьева-М.:НИЦ ИНФРА-М,2024.-287 с.(ВО)(П)</t>
  </si>
  <si>
    <t>ИСТОЧНИКОВЕДЕНИЕ НОВОЙ И НОВЕЙШЕЙ ИСТОРИИ СТРАН ЕВРОПЫ И АМЕРИКИ</t>
  </si>
  <si>
    <t>Григорьева И. В.</t>
  </si>
  <si>
    <t>978-5-16-018666-5</t>
  </si>
  <si>
    <t>46.03.01, 46.03.02, 46.04.01, 46.04.02</t>
  </si>
  <si>
    <t>Рекомендовано в качестве учебного пособия студентам высших учебных заведений, обучающихся по направлению 46.03.01 "История" (квалификация (степень) "бакалавр")</t>
  </si>
  <si>
    <t>289500.07.01</t>
  </si>
  <si>
    <t>К истории Русской Православной Церкви: Уч.пос. / Л.В.Беловинский - М.: Форум: ИНФРА-М, 2024-128с.</t>
  </si>
  <si>
    <t>К ИСТОРИИ РУССКОЙ ПРАВОСЛАВНОЙ ЦЕРКВИ</t>
  </si>
  <si>
    <t>978-5-91134-925-7</t>
  </si>
  <si>
    <t>44.03.05, 47.03.03, 47.04.03, 50.03.03, 50.03.04, 50.04.03, 50.04.04, 51.03.01, 51.04.01</t>
  </si>
  <si>
    <t>753606.03.01</t>
  </si>
  <si>
    <t>Кавказ в истории России: Монография / И.В.Бочарников - М.:НИЦ ИНФРА-М,2024 - 297 с.(Науч.мысль)(П)</t>
  </si>
  <si>
    <t>КАВКАЗ В ИСТОРИИ РОССИИ</t>
  </si>
  <si>
    <t>Бочарников И.В.</t>
  </si>
  <si>
    <t>978-5-16-016898-2</t>
  </si>
  <si>
    <t>46.00.00, 46.04.01, 46.06.01</t>
  </si>
  <si>
    <t>Московский государственный технический университет им. Н.Э. Баумана</t>
  </si>
  <si>
    <t>747881.04.01</t>
  </si>
  <si>
    <t>Кавказская политика России: Моногр. / И.В.Бочарников - М.:НИЦ ИНФРА-М,2024 - 175 с.(Науч.мысль)(О)</t>
  </si>
  <si>
    <t>КАВКАЗСКАЯ ПОЛИТИКА РОССИИ</t>
  </si>
  <si>
    <t>978-5-16-016720-6</t>
  </si>
  <si>
    <t>41.03.01, 41.03.05, 41.04.01, 41.04.04, 41.04.05, 41.06.01</t>
  </si>
  <si>
    <t>752925.04.01</t>
  </si>
  <si>
    <t>Кейсбук библ. проектов начала тысячелетия: Прак. пос. / Под ред. Жадёнова О.М.-М.:НИЦ ИНФРА-М,2024.-148 с.(О) [16+]</t>
  </si>
  <si>
    <t>КЕЙСБУК БИБЛИОТЕЧНЫХ ПРОЕКТОВ НАЧАЛА ТЫСЯЧЕЛЕТИЯ</t>
  </si>
  <si>
    <t>Жадёнов О.М., Жадёнов О.М.</t>
  </si>
  <si>
    <t>978-5-16-016778-7</t>
  </si>
  <si>
    <t>777259.05.01</t>
  </si>
  <si>
    <t>Кибермафия: мировые тенденции и...: Моногр. / В.С.Овчинский-М.:Юр. НОРМА,2024.-184 с.(п)</t>
  </si>
  <si>
    <t>КИБЕРМАФИЯ: МИРОВЫЕ ТЕНДЕНЦИИ И МЕЖДУНАРОДНОЕ ПРОТИВОДЕЙСТИЕ</t>
  </si>
  <si>
    <t>Овчинский В.С.</t>
  </si>
  <si>
    <t>978-5-00156-245-0</t>
  </si>
  <si>
    <t>10.04.01, 40.04.01, 40.05.01, 40.05.02, 40.06.01</t>
  </si>
  <si>
    <t>Министерство внутренних дел Российской Федерации</t>
  </si>
  <si>
    <t>656163.07.01</t>
  </si>
  <si>
    <t>Киноискусство России: опыт позитивной антропологии: Моногр. / А.С.Брейтман-М.:НИЦ ИНФРА-М,2023.-185 с.(О)</t>
  </si>
  <si>
    <t>КИНОИСКУССТВО РОССИИ: ОПЫТ ПОЗИТИВНОЙ АНТРОПОЛОГИИ</t>
  </si>
  <si>
    <t>Брейтман А.С.</t>
  </si>
  <si>
    <t>978-5-16-016748-0</t>
  </si>
  <si>
    <t>42.03.04, 51.03.05</t>
  </si>
  <si>
    <t>Дальневосточный государственный университет путей сообщения</t>
  </si>
  <si>
    <t>445350.05.01</t>
  </si>
  <si>
    <t>Классическая философия в совр. культуре: Моногр. / В.И.Коротких - М.:НИЦ ИНФРА-М,2019 - 160 с.(о)</t>
  </si>
  <si>
    <t>КЛАССИЧЕСКАЯ ФИЛОСОФИЯ В СОВРЕМЕННОЙ КУЛЬТУРЕ</t>
  </si>
  <si>
    <t>978-5-16-008964-5</t>
  </si>
  <si>
    <t>489100.05.01</t>
  </si>
  <si>
    <t>Классическая философия искусства. И. Кант: Моногр. / Н.Н.Никитина - М.:НИЦ ИНФРА-М,2022 - 242 с.(П)</t>
  </si>
  <si>
    <t>КЛАССИЧЕСКАЯ ФИЛОСОФИЯ ИСКУССТВА. И. КАНТ</t>
  </si>
  <si>
    <t>Никитина Н.Н.</t>
  </si>
  <si>
    <t>978-5-16-011751-5</t>
  </si>
  <si>
    <t>50.03.04, 50.04.04, 51.04.04</t>
  </si>
  <si>
    <t>Российский институт театрального искусства - ГИТИС</t>
  </si>
  <si>
    <t>700672.02.01</t>
  </si>
  <si>
    <t>Классические и неклас. логики в истор.-философ. аспекте: Уч.пос./ А.В.Шевцов-М.:НИЦ ИНФРА-М,2020.-259 с.(П)</t>
  </si>
  <si>
    <t>КЛАССИЧЕСКИЕ И НЕКЛАССИЧЕСКИЕ ЛОГИКИ В ИСТОРИКО-ФИЛОСОФСКОМ АСПЕКТЕ: ОСНОВНЫЕ ПРИНЦИПЫ И ПОНЯТИЯ</t>
  </si>
  <si>
    <t>Шевцов А.В.</t>
  </si>
  <si>
    <t>978-5-16-015135-9</t>
  </si>
  <si>
    <t>Рекомендовано Редакционно-издательским советом Московского авиационного института (национального исследовательского университета) в качестве учебного пособия</t>
  </si>
  <si>
    <t>Московский авиационный институт (национальный исследовательский университет)</t>
  </si>
  <si>
    <t>667389.05.01</t>
  </si>
  <si>
    <t>Когнитивная поэтика: предмет, терминол., методы: Моногр. / И.А.Тарасова - М.:НИЦ ИНФРА-М,2024-166 с.(Науч.мысль)(о)</t>
  </si>
  <si>
    <t>КОГНИТИВНАЯ ПОЭТИКА: ПРЕДМЕТ, ТЕРМИНОЛОГИЯ, МЕТОДЫ</t>
  </si>
  <si>
    <t>Тарасова И.А.</t>
  </si>
  <si>
    <t>978-5-16-018910-9</t>
  </si>
  <si>
    <t>106987.10.01</t>
  </si>
  <si>
    <t>Когнитивная психология: Уч.пос. / А.П.Лобанов - 2 изд.-М.:НИЦ ИНФРА-М,Новое зн.,2023-376 с(ВО)(П)</t>
  </si>
  <si>
    <t>КОГНИТИВНАЯ ПСИХОЛОГИЯ, ИЗД.2</t>
  </si>
  <si>
    <t>Лобанов А. П.</t>
  </si>
  <si>
    <t>978-5-16-006030-9</t>
  </si>
  <si>
    <t>37.03.01, 37.03.02, 37.05.01, 37.05.02, 39.03.01, 39.03.02, 39.03.03, 44.03.01, 44.03.02, 44.03.03, 44.03.04, 44.03.05</t>
  </si>
  <si>
    <t>Допущено Мин. обр. РБ в качестве учебного пособия для студентов учреждеений высшего образования по психологическим и педагогическим специальностям</t>
  </si>
  <si>
    <t>425150.09.01</t>
  </si>
  <si>
    <t>Количественные методы в ист. исслед.: Уч.пос. / Под ред. Селунской Н.Б.-М.:НИЦ ИНФРА-М,2024.-255 с.(ВО)(П)</t>
  </si>
  <si>
    <t>КОЛИЧЕСТВЕННЫЕ МЕТОДЫ В ИСТОРИЧЕСКИХ ИССЛЕДОВАНИЯХ</t>
  </si>
  <si>
    <t>Селунская Н. Б., Петрова О. С., Карагодин А. В., Селунская Н. Б.</t>
  </si>
  <si>
    <t>978-5-16-006586-1</t>
  </si>
  <si>
    <t>Допущено Учебно-методическим объединением по классическому университетскому образованию в качестве учебного пособия для студентов высших учебных заведений, обучающихся по направлению «История»</t>
  </si>
  <si>
    <t>779141.01.01</t>
  </si>
  <si>
    <t>Колониальный период истории США. Золотой век Виргинии / П.В.Востриков-М.:НИЦ ИНФРА-М,2022.-292 с.(О)</t>
  </si>
  <si>
    <t>КОЛОНИАЛЬНЫЙ ПЕРИОД ИСТОРИИ США. «ЗОЛОТОЙ ВЕК ВИРГИНИИ» (1680-1776)</t>
  </si>
  <si>
    <t>Востриков П.В.</t>
  </si>
  <si>
    <t>978-5-16-017793-9</t>
  </si>
  <si>
    <t>41.04.01, 41.04.04, 41.04.05, 41.06.01</t>
  </si>
  <si>
    <t>638383.02.01</t>
  </si>
  <si>
    <t>Коммуникативно-прагматическая вариативность предметно-ориентированного английского языка.: монография / К.А.Мележик-М.:Вузовский учебник, НИЦ ИНФРА-М,</t>
  </si>
  <si>
    <t>КОММУНИКАТИВНО-ПРАГМАТИЧЕСКАЯ ВАРИАТИВНОСТЬ ПРЕДМЕТНО-ОРИЕНТИРОВАННОГО АНГЛИЙСКОГО ЯЗЫКА.</t>
  </si>
  <si>
    <t>Мележик К.А.</t>
  </si>
  <si>
    <t>978-5-9558-0523-8</t>
  </si>
  <si>
    <t>45.00.00, 44.03.05</t>
  </si>
  <si>
    <t>668804.04.01</t>
  </si>
  <si>
    <t>Коммуникация. Стиль. Интеркультура: Уч.пос. / Л.В.Куликова - М.:НИЦ ИНФРА-М, СФУ,2024 - 268 с.(ВО)(П)</t>
  </si>
  <si>
    <t>КОММУНИКАЦИЯ. СТИЛЬ. ИНТЕРКУЛЬТУРА: ПРАГМАЛИНГВИСТИЧЕСКИЕ И КУЛЬТУРНО-АНТРОПОЛОГИЧЕСКИЕ ПОДХОДЫ К МЕЖКУЛЬТУРНОМУ ОБЩЕНИЮ</t>
  </si>
  <si>
    <t>Куликова Л.В.</t>
  </si>
  <si>
    <t>Высшее образование: Магистратура (СФУ)</t>
  </si>
  <si>
    <t>978-5-16-016132-7</t>
  </si>
  <si>
    <t>45.04.02</t>
  </si>
  <si>
    <t>Рекомендовано Учебно-методическим объединением по образованию в области лингвистики Министерства образования и науки Российской Федерации в качестве учебного пособия для студентов, обучающихся по направлению 45.04.02 «Лингвистика» (квалификация (степень) «магистр»)</t>
  </si>
  <si>
    <t>304600.07.01</t>
  </si>
  <si>
    <t>Композиция в архитектуре и градостроит.: Уч. пос./Г.А.Потаев - Форум: ИНФРА-М, 2024. - 304 с.(ВО)(п)</t>
  </si>
  <si>
    <t>КОМПОЗИЦИЯ В АРХИТЕКТУРЕ И ГРАДОСТРОИТЕЛЬСТВЕ</t>
  </si>
  <si>
    <t>978-5-91134-966-0</t>
  </si>
  <si>
    <t>07.03.01, 07.03.03, 07.03.04, 07.04.01, 07.04.03, 07.04.04, 35.03.10, 35.04.09</t>
  </si>
  <si>
    <t>682953.05.01</t>
  </si>
  <si>
    <t>Композиция в архитектуре и градостроительстве: Уч.пос. / Г.А.Потаев - М.:Форум, НИЦ ИНФРА-М,2023-304 с.(СПО)(П)</t>
  </si>
  <si>
    <t>978-5-00091-577-6</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</si>
  <si>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07.02.00 «Архитектура» (протокол № 9 от 13.05.2019)</t>
  </si>
  <si>
    <t>806260.01.01</t>
  </si>
  <si>
    <t>Компьютер и Основы Программирования: Уч. / М.В.Мельничук-М.:НИЦ ИНФРА-М,2024.-460 с.(ВО)(п)</t>
  </si>
  <si>
    <t>COMPUTER AND COMPUTER PROGRAMMING (КОМПЬЮТЕР И ОСНОВЫ ПРОГРАММИРОВАНИЯ)</t>
  </si>
  <si>
    <t>978-5-16-018710-5</t>
  </si>
  <si>
    <t>09.03.01, 09.03.02, 09.03.03, 09.03.04, 09.05.01</t>
  </si>
  <si>
    <t>701891.05.01</t>
  </si>
  <si>
    <t>Консервация железных археологич. предметов / И.Ю.Буравлев- 2 изд.-М.:ИЦ РИОР, НИЦ ИНФРА-М,2024.-168 с.(о)</t>
  </si>
  <si>
    <t>КОНСЕРВАЦИЯ ЖЕЛЕЗНЫХ АРХЕОЛОГИЧЕСКИХ ПРЕДМЕТОВ, ИЗД.2</t>
  </si>
  <si>
    <t>Буравлев И.Ю., Цыбульская О.Н., Ярусова С.Б. и др.</t>
  </si>
  <si>
    <t>978-5-369-01802-6</t>
  </si>
  <si>
    <t>46.04.01</t>
  </si>
  <si>
    <t>Институт химии Дальневосточного отделения Российской академии наук</t>
  </si>
  <si>
    <t>701891.03.01</t>
  </si>
  <si>
    <t>Консервация железных археологических предметов / И.Ю.Буравлев-М.:ИЦ РИОР, НИЦ ИНФРА-М,2021.-168c(О)</t>
  </si>
  <si>
    <t>КОНСЕРВАЦИЯ ЖЕЛЕЗНЫХ АРХЕОЛОГИЧЕСКИХ ПРЕДМЕТОВ</t>
  </si>
  <si>
    <t>103400.17.01</t>
  </si>
  <si>
    <t>Конструкции зданий и сооруж. с элементами..: Уч. / Под ред. Маиляна Л.Р. - М.:ИНФРА-М Изд/ Дом,2024-687 с.(П)</t>
  </si>
  <si>
    <t>КОНСТРУКЦИИ ЗДАНИЙ И СООРУЖЕНИЙ С ЭЛЕМЕНТАМИ СТАТИКИ</t>
  </si>
  <si>
    <t>Маилян Л. Р.</t>
  </si>
  <si>
    <t>978-5-16-003508-6</t>
  </si>
  <si>
    <t>07.02.01, 08.02.01</t>
  </si>
  <si>
    <t>Допущено Федеральным агентством по строительству и ЖКХ в качестве учебника для студентов сред. спец. учеб. зав., обуч. по спец. 270301 Архитектура</t>
  </si>
  <si>
    <t>348200.14.01</t>
  </si>
  <si>
    <t>Конструкции малоэтажных зданий: Уч.пос. / Л.А.Мунчак - 2 изд. - М.:КУРС, НИЦ ИНФРА-М,2023-464с.(П)</t>
  </si>
  <si>
    <t>КОНСТРУКЦИИ МАЛОЭТАЖНЫХ ЗДАНИЙ, ИЗД.2</t>
  </si>
  <si>
    <t>Мунчак Л.А.</t>
  </si>
  <si>
    <t>978-5-906818-84-3</t>
  </si>
  <si>
    <t>08.03.01</t>
  </si>
  <si>
    <t>657343.06.01</t>
  </si>
  <si>
    <t>Консультативная психология: Уч.пос. / Е.Е.Сапогова - 2 изд. - М.:НИЦ ИНФРА-М,2024 - 427с(ВО)(п)</t>
  </si>
  <si>
    <t>КОНСУЛЬТАТИВНАЯ ПСИХОЛОГИЯ, ИЗД.2</t>
  </si>
  <si>
    <t>Сапогова Е.Е.</t>
  </si>
  <si>
    <t>978-5-16-019844-6</t>
  </si>
  <si>
    <t>37.03.01, 37.05.01, 44.03.02, 44.04.02, 44.05.01</t>
  </si>
  <si>
    <t>Рекомендовано Учебно-методическим советом ВО в качестве учебного пособия для студентов высших учебных заведений, обучающихся по направлениям подготовки 37.03.01 «Психология», 44.03.02 «Психолого-педагогическое образование» (квалификация (степень) «бакалавр»)</t>
  </si>
  <si>
    <t>766070.01.01</t>
  </si>
  <si>
    <t>Контуры и профили культуры США в XIX столетии: Моногр. / Т.В.Алентьева - М.:НИЦ ИНФРА-М,2022 - 436 с.(П)</t>
  </si>
  <si>
    <t>КОНТУРЫ И ПРОФИЛИ КУЛЬТУРЫ США В XIX СТОЛЕТИИ</t>
  </si>
  <si>
    <t>978-5-16-017255-2</t>
  </si>
  <si>
    <t>46.03.01, 50.03.03, 50.03.04, 50.04.03, 50.04.04, 51.04.01</t>
  </si>
  <si>
    <t>023598.16.01</t>
  </si>
  <si>
    <t>Конфликтология: Уч. / А.В. Дмитриев - 4 изд. - М.: Альфа-М:  НИЦ ИНФРА-М, 2023 - 336 с. (П)</t>
  </si>
  <si>
    <t>КОНФЛИКТОЛОГИЯ, ИЗД.4</t>
  </si>
  <si>
    <t>Дмитриев А. В.</t>
  </si>
  <si>
    <t>978-5-98281-350-3</t>
  </si>
  <si>
    <t>23.03.01, 26.03.01, 37.03.01, 37.03.02, 37.04.01, 37.04.02, 38.03.01, 38.03.03, 38.03.04, 38.04.03, 38.04.04, 39.03.01, 39.03.02, 39.04.01, 41.03.04, 41.03.06, 41.04.01, 41.04.04, 41.04.05, 43.04.03, 44.03.01, 44.03.05, 51.03.02</t>
  </si>
  <si>
    <t>Рекомендовано УМО по образованию в области инновационных  междисциплинарных образовательных программ в качестве учебника по направлению "Конфликтология"</t>
  </si>
  <si>
    <t>Федеральный научно-исследовательский социологический центр Российской академии наук</t>
  </si>
  <si>
    <t>0413</t>
  </si>
  <si>
    <t>123750.11.01</t>
  </si>
  <si>
    <t>Конфликтология: Уч. / Г.И.Козырев - 3 изд. - М.:НИЦ ИНФРА-М,2023 - 289 с.(ВО)(П)</t>
  </si>
  <si>
    <t>КОНФЛИКТОЛОГИЯ, ИЗД.3</t>
  </si>
  <si>
    <t>Козырев Г.И.</t>
  </si>
  <si>
    <t>978-5-16-018512-5</t>
  </si>
  <si>
    <t>37.03.02, 37.04.02, 37.05.02, 38.03.01, 38.03.03, 39.03.02, 41.03.06, 44.03.05</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</si>
  <si>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направлениям подготовки 38.03.01 «Экономика», 38.03.03 «Управление персоналом», 41.03.06 «Публичная политика и социальные науки» (квалификация (степень) «бакалавр») (протокол № 10 от 27.05.2019)</t>
  </si>
  <si>
    <t>Российский химико-технологический университет им. Д.И. Менделеева</t>
  </si>
  <si>
    <t>0319</t>
  </si>
  <si>
    <t>123750.05.01</t>
  </si>
  <si>
    <t>Конфликтология: Уч. / Г.И.Козырев - М.:ИД ФОРУМ, НИЦ ИНФРА-М,2018 - 304 с.-(ВО)(П)</t>
  </si>
  <si>
    <t>КОНФЛИКТОЛОГИЯ</t>
  </si>
  <si>
    <t>978-5-8199-0738-2</t>
  </si>
  <si>
    <t>Допущено Учебно-методическим объединением по классическому университетскому образованию в качестве учебника для студентов высших учебных заведений, обучающихся по направлению 39.03.01 «Социология»</t>
  </si>
  <si>
    <t>024307.27.01</t>
  </si>
  <si>
    <t>Конфликтология: Уч. / Под ред. Кибанова А.Я. - 2 изд. - М.:НИЦ ИНФРА-М,2021 - 301 с.-(ВО)(П)</t>
  </si>
  <si>
    <t>КОНФЛИКТОЛОГИЯ, ИЗД.2</t>
  </si>
  <si>
    <t>Кибанов А. Я., Ворожейкин И. Е., Захаров Д. К., Коновалова В. Г., Кибанов А. Я.</t>
  </si>
  <si>
    <t>978-5-16-005724-8</t>
  </si>
  <si>
    <t>20.02.05, 23.03.01, 31.02.04, 37.03.01, 37.03.02, 37.04.01, 37.04.02, 38.02.03, 38.02.07, 38.02.08, 38.03.01, 38.03.02, 38.03.03, 38.04.01, 38.04.02, 38.04.03, 39.03.01, 39.03.02, 39.04.01, 41.03.04, 41.03.06, 41.04.01, 41.04.04, 41.04.05, 43.04.03, 44.03.01, 44.03.05, 51.03.02</t>
  </si>
  <si>
    <t>Рекомендовано Министерством образования и науки Российской Федерации в качестве учебника для студентов высших учебных заведений, обучающихся по направлениям подготовки 38.03.02 «Менеджмент»,  39.03.03 «Управление персоналом»</t>
  </si>
  <si>
    <t>Государственный университет управления</t>
  </si>
  <si>
    <t>0205</t>
  </si>
  <si>
    <t>064460.07.01</t>
  </si>
  <si>
    <t>Конфликтология: Уч. пос. / Е.А.Земедлина - 2 изд.- М.: ИЦ РИОР:НИЦ Инфра-М, 2023-141с.(ВПО: Бакалавр.) (о)</t>
  </si>
  <si>
    <t>Земедлина Е. А.</t>
  </si>
  <si>
    <t>ВПО: Бакалавриат</t>
  </si>
  <si>
    <t>978-5-369-01082-2</t>
  </si>
  <si>
    <t>37.03.02, 37.04.02, 38.03.01, 38.03.03, 39.03.02, 41.03.06, 44.03.05</t>
  </si>
  <si>
    <t>646394.04.01</t>
  </si>
  <si>
    <t>Концептуализации общ. в соц. философской..: Моногр. / К.Х.Момджян и др. -М.:НИЦ ИНФРА-М,2022-350с(П)</t>
  </si>
  <si>
    <t>КОНЦЕПТУАЛИЗАЦИИ ОБЩЕСТВА В СОЦИАЛЬНОЙ ФИЛОСОФСКОЙ И ФИЛОСОФСКО-ИСТОРИЧЕСКОЙ РЕФЛЕКСИИ</t>
  </si>
  <si>
    <t>Момджян К.Х., Антоновский А.Ю., Семенов Ю.И. и др.</t>
  </si>
  <si>
    <t>978-5-16-013800-8</t>
  </si>
  <si>
    <t>39.04.01, 47.03.01</t>
  </si>
  <si>
    <t>Московский государственный университет им. М.В. Ломоносова, философский факультет</t>
  </si>
  <si>
    <t>221400.08.01</t>
  </si>
  <si>
    <t>Концепция глобализации: Монография / С.В.Борзых-М.:НИЦ ИНФРА-М,2022.-128 с..-(Науч.мысль)(о)</t>
  </si>
  <si>
    <t>КОНЦЕПЦИЯ ГЛОБАЛИЗАЦИИ</t>
  </si>
  <si>
    <t>978-5-16-008971-3</t>
  </si>
  <si>
    <t>777628.03.01</t>
  </si>
  <si>
    <t>Концепция семьи в творчестве И.С.Тургенева...: Моногр. / М.А.Курбакова-М.:НИЦ ИНФРА-М,2024.-221 с.(О)</t>
  </si>
  <si>
    <t>КОНЦЕПЦИЯ СЕМЬИ В ТВОРЧЕСТВЕ И.С.ТУРГЕНЕВА . СЕМЬЯНИН ИЛИ СТРАННИК?</t>
  </si>
  <si>
    <t>Курбакова М.А.</t>
  </si>
  <si>
    <t>978-5-16-017745-8</t>
  </si>
  <si>
    <t>44.03.05, 44.04.01, 45.04.01, 45.06.01</t>
  </si>
  <si>
    <t>Московский политехнический университет</t>
  </si>
  <si>
    <t>812757.01.01</t>
  </si>
  <si>
    <t>Косвенные методы в сенситивных исслед.: Моногр. / А.Ю.Мягков-М.:НИЦ ИНФРА-М,2024.-245 с.(Науч.мысль)(п)</t>
  </si>
  <si>
    <t>КОСВЕННЫЕ МЕТОДЫ В СЕНСИТИВНЫХ ИССЛЕДОВАНИЯХ</t>
  </si>
  <si>
    <t>Мягков А.Ю.</t>
  </si>
  <si>
    <t>978-5-16-019344-1</t>
  </si>
  <si>
    <t>39.04.01, 39.06.01, 41.04.04, 42.04.01</t>
  </si>
  <si>
    <t>Ивановский государственный энергетический университет им. В.И. Ленина</t>
  </si>
  <si>
    <t>726963.05.01</t>
  </si>
  <si>
    <t>Костюм мордовского народа в обычаях и обрядах: Моногр. / Т.А.Шигурова - М.:НИЦ ИНФРА-М,2024-171с(О)</t>
  </si>
  <si>
    <t>КОСТЮМ МОРДОВСКОГО НАРОДА В ОБЫЧАЯХ И ОБРЯДАХ</t>
  </si>
  <si>
    <t>Шигурова Т.А., Макаркин Н.П.</t>
  </si>
  <si>
    <t>978-5-16-015938-6</t>
  </si>
  <si>
    <t>51.03.02, 51.03.04, 51.03.05, 51.04.01, 51.04.02, 51.06.01, 54.04.01, 54.04.02</t>
  </si>
  <si>
    <t>Национальный исследовательский Мордовский государственный университет им. Н.П. Огарева</t>
  </si>
  <si>
    <t>021917.15.01</t>
  </si>
  <si>
    <t>Краткий словарь по социологии / П.Д.Павленок - 2 изд. - М.:НИЦ ИНФРА-М,2023 - 254 с.(О)</t>
  </si>
  <si>
    <t>КРАТКИЙ СЛОВАРЬ ПО СОЦИОЛОГИИ, ИЗД.2</t>
  </si>
  <si>
    <t>Павленок П.Д.</t>
  </si>
  <si>
    <t>Библиотека малых словарей "ИНФРА-М"</t>
  </si>
  <si>
    <t>978-5-16-009912-5</t>
  </si>
  <si>
    <t>00.03.10, 00.05.10, 39.03.01, 39.03.02, 39.03.03, 39.04.01, 39.04.02, 39.04.03</t>
  </si>
  <si>
    <t>668595.03.01</t>
  </si>
  <si>
    <t>Кризисное сознание в контексте глобал.процес.: Моногр./Л.Д.Рассказов-М.:НИЦ ИНФРА-М,СФУ,2023-179с(П)</t>
  </si>
  <si>
    <t>КРИЗИСНОЕ СОЗНАНИЕ В КОНТЕКСТЕ ГЛОБАЛИЗАЦИОННЫХ ПРОЦЕССОВ</t>
  </si>
  <si>
    <t>Рассказов Л.Д.</t>
  </si>
  <si>
    <t>978-5-16-013299-0</t>
  </si>
  <si>
    <t>693082.02.01</t>
  </si>
  <si>
    <t>Критерии истины: Монография / С.В.Борзых - М.:НИЦ ИНФРА-М,2023.-193 с..-(Науч.мысль)(О)</t>
  </si>
  <si>
    <t>КРИТЕРИИ ИСТИНЫ</t>
  </si>
  <si>
    <t>978-5-16-014512-9</t>
  </si>
  <si>
    <t>681311.03.01</t>
  </si>
  <si>
    <t>Критика аксиологического разума: Монография / С.Е.Ячин - М.:НИЦ ИНФРА-М,2022 - 137 с.(Науч.мысль)(О)</t>
  </si>
  <si>
    <t>КРИТИКА АКСИОЛОГИЧЕСКОГО РАЗУМА</t>
  </si>
  <si>
    <t>978-5-16-013814-5</t>
  </si>
  <si>
    <t>40.03.01, 44.03.01, 44.03.05, 47.03.01</t>
  </si>
  <si>
    <t>295700.06.01</t>
  </si>
  <si>
    <t>Критика знания: Моногр. / С.В. Борзых. - М.: НИЦ ИНФРА-М, 2024-118с.(Научная мысль; Философия) (о)</t>
  </si>
  <si>
    <t>КРИТИКА ЗНАНИЯ</t>
  </si>
  <si>
    <t>978-5-16-010093-7</t>
  </si>
  <si>
    <t>773688.05.01</t>
  </si>
  <si>
    <t>Критика медиаречи: Уч.пос. / Под ред. Дускаевой Л.Р. - М.:НИЦ ИНФРА-М,2024 - 241 с.(ВО)(п)</t>
  </si>
  <si>
    <t>КРИТИКА МЕДИАРЕЧИ</t>
  </si>
  <si>
    <t>Васильева В.В., Дускаева Л.Р., Иванова Л.Ю. и др.</t>
  </si>
  <si>
    <t>978-5-16-018863-8</t>
  </si>
  <si>
    <t>42.03.05, 42.04.01, 42.04.04, 45.04.01</t>
  </si>
  <si>
    <t>684086.08.01</t>
  </si>
  <si>
    <t>Кто есть кто в международном терроризме: Справ. / В.В.Красинский - М.:НИЦ ИНФРА-М,2024 - 128 с.(О)</t>
  </si>
  <si>
    <t>КТО ЕСТЬ КТО В МЕЖДУНАРОДНОМ ТЕРРОРИЗМЕ</t>
  </si>
  <si>
    <t>Красинский В.В., Машко В.В.</t>
  </si>
  <si>
    <t>978-5-16-014191-6</t>
  </si>
  <si>
    <t>Нижегородский государственный технический университет им. Р.А. Алексеева, ф-л Дзержинский политехнический институт</t>
  </si>
  <si>
    <t>466850.03.01</t>
  </si>
  <si>
    <t>Куда идет мир: политич. экономия будущего: Моногр. / Г.В.Колодко-М.:Магистр,НИЦ ИНФРА-М,2018-528с(П)</t>
  </si>
  <si>
    <t>КУДА ИДЕТ МИР: ПОЛИТИЧЕСКАЯ ЭКОНОМИЯ БУДУЩЕГО</t>
  </si>
  <si>
    <t>Колодко Г.В.</t>
  </si>
  <si>
    <t>978-5-9776-0317-1</t>
  </si>
  <si>
    <t>38.03.01, 38.03.04, 38.04.01, 38.04.04, 41.03.01, 41.03.05, 41.03.06, 41.04.01, 41.04.05</t>
  </si>
  <si>
    <t>185600.08.01</t>
  </si>
  <si>
    <t>Культ личности в России: попытка осмысл.: Моногр./В.В.Викторов - М: Вуз. уч.: НИЦ Инфра-М, 2023-207с (п)</t>
  </si>
  <si>
    <t>КУЛЬТ ЛИЧНОСТИ В РОССИИ: ПОПЫТКА ОСМЫСЛЕНИЯ</t>
  </si>
  <si>
    <t>Викторов В. В.</t>
  </si>
  <si>
    <t>978-5-9558-0248-0</t>
  </si>
  <si>
    <t>39.04.01, 41.03.06, 41.04.04, 46.04.01</t>
  </si>
  <si>
    <t>665277.08.01</t>
  </si>
  <si>
    <t>Культура Древнего Китая: Уч.пос. / Д.Л.Обидин - М.:НИЦ ИНФРА-М,2024 - 163 с.(ВО)(п)</t>
  </si>
  <si>
    <t>КУЛЬТУРА ДРЕВНЕГО КИТАЯ</t>
  </si>
  <si>
    <t>Обидин Д.Л.</t>
  </si>
  <si>
    <t>978-5-16-019067-9</t>
  </si>
  <si>
    <t>00.03.05, 45.03.01, 50.03.01, 51.03.01</t>
  </si>
  <si>
    <t>Рекомендовано в качестве учебного пособия для студентов высших учебных заведени, обучающихся по направлениям подготовки 51.03.01 «Культурология», 50.03.01 «Искусства и гуманитарные науки» (квалификация (степень) «бакалавр»)</t>
  </si>
  <si>
    <t>395200.07.01</t>
  </si>
  <si>
    <t>Культура Древней Индии: Уч.пос. / Д.Л.Обидин - М.:НИЦ ИНФРА-М,2024 - 95 с.-(ВО:(МАТИ-МАИ))(О)</t>
  </si>
  <si>
    <t>КУЛЬТУРА ДРЕВНЕЙ ИНДИИ</t>
  </si>
  <si>
    <t>978-5-16-011224-4</t>
  </si>
  <si>
    <t>47.03.01, 47.03.03, 51.03.01</t>
  </si>
  <si>
    <t>Рекомендовано в качестве учебного пособия для студентов высших учебных заведений, обучающихся по направлениям подготовки 51.03.01 «Культурология», 47.03.01 «Философия», 47.03.03 «Религиоведение» (квалификация (степень) «бакалавр»)</t>
  </si>
  <si>
    <t>668591.04.01</t>
  </si>
  <si>
    <t>Культура и образование: принципы взаимодействия: Моногр. / М.В.Тарасова-М.:НИЦ ИНФРА-М, СФУ,2024.-360 с..-(П)</t>
  </si>
  <si>
    <t>КУЛЬТУРА И ОБРАЗОВАНИЕ: ПРИНЦИПЫ ВЗАИМОДЕЙСТВИЯ</t>
  </si>
  <si>
    <t>Тарасова М.В.</t>
  </si>
  <si>
    <t>978-5-16-017868-4</t>
  </si>
  <si>
    <t>00.03.05, 51.04.01</t>
  </si>
  <si>
    <t>178100.09.01</t>
  </si>
  <si>
    <t>Культура письменной и устной русской речи. Дел.письмо / Л.Я.Ковадло - М.:Форум,НИЦ ИНФРА-М,2023-401с</t>
  </si>
  <si>
    <t>КУЛЬТУРА ПИСЬМЕННОЙ И УСТНОЙ РУССКОЙ РЕЧИ. ДЕЛОВОЕ ПИСЬМО</t>
  </si>
  <si>
    <t>Ковадло Л. Я.</t>
  </si>
  <si>
    <t>978-5-91134-580-8</t>
  </si>
  <si>
    <t>Белорусский государственный университет</t>
  </si>
  <si>
    <t>721351.02.01</t>
  </si>
  <si>
    <t>Культура письменной и устной русской речи..: Практ. пос./ Л.Я.Ковадло-М.:Форум, НИЦ ИНФРА-М,2021-401 с.(СПО)(П)</t>
  </si>
  <si>
    <t>978-5-00091-722-0</t>
  </si>
  <si>
    <t>00.02.34</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</si>
  <si>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основную образовательную программу среднего профессионального образования (протокол № 12 от 24.06.2019)</t>
  </si>
  <si>
    <t>780316.01.01</t>
  </si>
  <si>
    <t>Культура речи и деловое общение: Уч.пос. / Н.Ю.Паудяль и др.-М.:НИЦ ИНФРА-М,2023.-526 с.(СПО)(П)</t>
  </si>
  <si>
    <t>КУЛЬТУРА РЕЧИ И ДЕЛОВОЕ ОБЩЕНИЕ</t>
  </si>
  <si>
    <t>Паудяль Н.Ю., Филиндаш Л.В.</t>
  </si>
  <si>
    <t>978-5-16-017750-2</t>
  </si>
  <si>
    <t>40.02.04</t>
  </si>
  <si>
    <t>Рекомендовано Межрегиональным учебно-методическим советом профессионального образования в качестве учебного пособия для студентов учреждений среднего профессионального образования, обучающихся по основным образовательным программам среднего профессионального образования  (протокол № 4 от 13.04.2022)</t>
  </si>
  <si>
    <t>674742.03.01</t>
  </si>
  <si>
    <t>Культура речи и деловое общение: Уч.пос. / Н.Ю.Паудяль-М.:НИЦ ИНФРА-М,2023.-526 с.(ВО: Бакалавр.)(П)</t>
  </si>
  <si>
    <t>978-5-16-015015-4</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</si>
  <si>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основным образовательным программам по направлениям подготовки бакалавриата (протокол № 1 от 12.01.2022)</t>
  </si>
  <si>
    <t>009584.19.01</t>
  </si>
  <si>
    <t>Культура русской речи: Уч. для вузов / Граудина Л. К. - М.: Юр.Норма, НИЦ ИНФРА-М, 2022. - 560 с.(П)</t>
  </si>
  <si>
    <t>КУЛЬТУРА РУССКОЙ РЕЧИ</t>
  </si>
  <si>
    <t>Граудина Л. К., Виноградов С. И., Даниленко В. П., Карпинская Е. В.</t>
  </si>
  <si>
    <t>978-5-91768-547-2</t>
  </si>
  <si>
    <t>00.03.09, 00.05.09, 45.03.01, 45.03.02, 45.03.03, 45.03.04, 45.03.99, 46.03.01, 46.03.02, 46.03.03, 46.03.04, 47.03.01, 47.03.02, 47.03.03, 48.03.01, 49.03.01, 49.03.02, 49.03.03, 49.03.04</t>
  </si>
  <si>
    <t>Допущено Министерством образования и науки РФ в качестве учебника для студентов высших учебных заведений</t>
  </si>
  <si>
    <t>0198</t>
  </si>
  <si>
    <t>438600.11.01</t>
  </si>
  <si>
    <t>Культура. Религия. Толерантность. Культурология: Уч.пос. / О.Н.Сенюткина -2 изд.-М.:НИЦ ИНФРА-М,2024-247 с.(ВО)(п)</t>
  </si>
  <si>
    <t>КУЛЬТУРА. РЕЛИГИЯ. ТОЛЕРАНТНОСТЬ. КУЛЬТУРОЛОГИЯ, ИЗД.2</t>
  </si>
  <si>
    <t>Сенюткина О.Н., Шиманская О.К., Паршаков А.С. и др.</t>
  </si>
  <si>
    <t>978-5-16-019846-0</t>
  </si>
  <si>
    <t>44.03.05, 51.03.01</t>
  </si>
  <si>
    <t>Допущено Учебно-методическим объединением вузов Российской Федерации по образованию в области историко-архивоведения  в качестве учебного пособия для студентов высших учебных заведений, обучающихся по направлению 51.03.01 «Культурология»</t>
  </si>
  <si>
    <t>669908.02.01</t>
  </si>
  <si>
    <t>Культурологическая маркиров. аллюзий..: Моногр./ А.М.Гарифуллина - 2 изд.-М.:НИЦ ИНФРА-М,2023-120с.</t>
  </si>
  <si>
    <t>КУЛЬТУРОЛОГИЧЕСКАЯ МАРКИРОВАННОСТЬ АЛЛЮЗИЙ В РАМКАХ ХУДОЖЕСТВЕННОГО ДИСКУРСА Д. ФАУЛЗА, ИЗД.2</t>
  </si>
  <si>
    <t>Гарифуллина А.М.</t>
  </si>
  <si>
    <t>978-5-16-014143-5</t>
  </si>
  <si>
    <t>45.03.01, 51.03.01</t>
  </si>
  <si>
    <t>651245.05.01</t>
  </si>
  <si>
    <t>Культурология: Уч. / А.М.Руденко - М.:ИЦ РИОР, НИЦ ИНФРА-М,2023 - 336 с.-(ВО)(П)</t>
  </si>
  <si>
    <t>КУЛЬТУРОЛОГИЯ</t>
  </si>
  <si>
    <t>Руденко А.М.</t>
  </si>
  <si>
    <t>978-5-369-01703-6</t>
  </si>
  <si>
    <t>00.03.05, 00.05.05</t>
  </si>
  <si>
    <t>Донской государственный технический университет, ф-л Институт сферы обслуживания и предпринимательства</t>
  </si>
  <si>
    <t>082990.16.01</t>
  </si>
  <si>
    <t>Культурология: Уч. / В.В.Викторов - 2 изд. - М.:Вуз.уч.,НИЦ ИНФРА-М,2024 - 435 с.(ВО)(П)</t>
  </si>
  <si>
    <t>КУЛЬТУРОЛОГИЯ, ИЗД.2</t>
  </si>
  <si>
    <t>Викторов В.В.</t>
  </si>
  <si>
    <t>Высшее образование: Бакалавриат (ФинУн)</t>
  </si>
  <si>
    <t>978-5-9558-0633-4</t>
  </si>
  <si>
    <t>Рекомендовано Научно-методическим советом по культурологии Министерства образования и науки РФ для высших учебных заведений в качестве учебника по дисциплине «Культурология»</t>
  </si>
  <si>
    <t>082990.11.01</t>
  </si>
  <si>
    <t>Культурология: Уч. / В.В.Викторов - М.:Вуз.уч.,НИЦ ИНФРА-М,2019 - 411 с.(Вузовский учебник)(П)</t>
  </si>
  <si>
    <t>978-5-9558-0459-0</t>
  </si>
  <si>
    <t>Рекомендовано Научно-методическим советом по культурологии Министерства образования и науки РФ для высших учебных заведений в качестве учебника по дисциплине «Культурология" блока ГСЭ Государственного образовательного стандарта</t>
  </si>
  <si>
    <t>0107</t>
  </si>
  <si>
    <t>206200.11.01</t>
  </si>
  <si>
    <t>Культурология: Уч. / О.Г.Данильян - 2 изд. - М.:НИЦ ИНФРА-М,2024 - 239 с.-(ВО)(п)</t>
  </si>
  <si>
    <t>Данильян О. Г., Тараненко В. М.</t>
  </si>
  <si>
    <t>978-5-16-019871-2</t>
  </si>
  <si>
    <t>Юридическая академия Украины им. Ярослава Мудрого</t>
  </si>
  <si>
    <t>144600.09.01</t>
  </si>
  <si>
    <t>Культурология: Уч. пос. / Д.А.Силичев - 5 изд. - М.:Вуз. уч., НИЦ ИНФРА-М,2024. - 393 с.(П)</t>
  </si>
  <si>
    <t>КУЛЬТУРОЛОГИЯ, ИЗД.5</t>
  </si>
  <si>
    <t>Силичев Д. А.</t>
  </si>
  <si>
    <t>978-5-9558-0460-6</t>
  </si>
  <si>
    <t>Рекомендовано УМО по образованию в области финансов, учета и мировой экономики в качестве учебного пособия для студентов, обучающихся по направлению «Экономика (бакалавриат)»</t>
  </si>
  <si>
    <t>0511</t>
  </si>
  <si>
    <t>471650.05.01</t>
  </si>
  <si>
    <t>Культурология: Уч. пос. / Т.В.Попова - М.:ИД ФОРУМ, НИЦ ИНФРА-М,2023.-256 с..-(ВО)(П)</t>
  </si>
  <si>
    <t>Попова Т.В.</t>
  </si>
  <si>
    <t>978-5-8199-0604-0</t>
  </si>
  <si>
    <t>Московский институт электронной техники</t>
  </si>
  <si>
    <t>010000.22.01</t>
  </si>
  <si>
    <t>Культурология: Уч.пос. / Ю.Я.Малюга - 2 изд. - М.:ИНФРА-М,2024 - 333с.(ВО)(п)</t>
  </si>
  <si>
    <t>Малюга Ю. Я.</t>
  </si>
  <si>
    <t>978-5-16-004270-1</t>
  </si>
  <si>
    <t>Рекомендовано в качестве учебного пособия для студентов высших учебных заведений, обучающихся по направлениям подготовки 38.03.01 «Экономика», 38.03.02 «Менеджмент», 38.03.03 «Управление персоналом», 40.03.01 «Юриспруденция» (квалификация (степень) «бакалавр»)</t>
  </si>
  <si>
    <t>0203</t>
  </si>
  <si>
    <t>696948.02.01</t>
  </si>
  <si>
    <t>Культурфилософская мысль в России ХХ - нач. XXI в.:Уч.пос. / Т.С.Злотникова-М.:НИЦ ИНФРА-М,2023-204с</t>
  </si>
  <si>
    <t>КУЛЬТУРФИЛОСОФСКАЯ МЫСЛЬ В РОССИИ ХХ - НАЧАЛА XXI ВЕКА: ЛИЦА,ШКОЛЫ, ИДЕИ</t>
  </si>
  <si>
    <t>Злотникова Т.С.</t>
  </si>
  <si>
    <t>978-5-16-014734-5</t>
  </si>
  <si>
    <t>44.04.01</t>
  </si>
  <si>
    <t>Рекомендовано Учебно-методическим советом ВО в качестве учебного пособия для студентов высших учебных заведений, обучающихся по гуманитарным направлениям подготовки (квалификация (степень) «магистр»)</t>
  </si>
  <si>
    <t>Ярославский государственный педагогический университет им. К.Д. Ушинского</t>
  </si>
  <si>
    <t>802571.01.01</t>
  </si>
  <si>
    <t>Кумиры: от подражания к творчеству: Моногр. / В.К.Харченко-М.:НИЦ ИНФРА-М,2024.-181 с.(Науч.мысль)(п)</t>
  </si>
  <si>
    <t>КУМИРЫ: ОТ ПОДРАЖАНИЯ К ТВОРЧЕСТВУ</t>
  </si>
  <si>
    <t>978-5-16-018482-1</t>
  </si>
  <si>
    <t>00.03.09, 00.05.09, 38.03.03, 38.04.03, 39.03.03, 39.04.03, 39.06.01</t>
  </si>
  <si>
    <t>383300.08.01</t>
  </si>
  <si>
    <t>Курс русской риторики: Уч.пос. / А.А.Волков - М.:Форум, НИЦ ИНФРА-М,2024 - 544 с.-(ВО)(П)</t>
  </si>
  <si>
    <t>КУРС РУССКОЙ РИТОРИКИ</t>
  </si>
  <si>
    <t>Волков А.А.</t>
  </si>
  <si>
    <t>978-5-00091-104-4</t>
  </si>
  <si>
    <t>40.03.01, 42.03.01, 44.03.05, 45.03.01</t>
  </si>
  <si>
    <t>487650.06.01</t>
  </si>
  <si>
    <t>Курс эффект. грамматики англ. яз.: Уч.пос. / А.В. Афанасьев - М.: Форум: НИЦ ИНФРА-М, 2023 -88с. (о)</t>
  </si>
  <si>
    <t>КУРС ЭФФЕКТИВНОЙ ГРАММАТИКИ АНГЛИЙСКОГО ЯЗЫКА</t>
  </si>
  <si>
    <t>Афанасьев А.В.</t>
  </si>
  <si>
    <t>978-5-00091-030-6</t>
  </si>
  <si>
    <t>Российский государственный университет нефти и газа (НИУ) им. И.М. Губкина</t>
  </si>
  <si>
    <t>684813.06.01</t>
  </si>
  <si>
    <t>Ландшафтная архитектура и дизайн...: Уч.пос. / Г.А.Потаев - М.:Форум, НИЦ ИНФРА-М,2023 - 368 с.(П)</t>
  </si>
  <si>
    <t>ЛАНДШАФТНАЯ АРХИТЕКТУРА И ДИЗАЙН: ТРАДИЦИИ И ИННОВАЦИИ</t>
  </si>
  <si>
    <t>978-5-00091-595-0</t>
  </si>
  <si>
    <t>35.02.12</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</si>
  <si>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специальности 35.02.12 «Садово-парковое и ландшафтное строительство»</t>
  </si>
  <si>
    <t>137550.12.01</t>
  </si>
  <si>
    <t>Ландшафтная архитектура с осн.проектир.: Уч.пос./В.С.Теодоронский-2изд.-Форум,НИЦ ИНФРА-М,2022-304с.</t>
  </si>
  <si>
    <t>ЛАНДШАФТНАЯ АРХИТЕКТУРА С ОСНОВАМИ ПРОЕКТИРОВАНИЯ, ИЗД.2</t>
  </si>
  <si>
    <t>Теодоронский В.С., Боговая И.О.</t>
  </si>
  <si>
    <t>978-5-00091-463-2</t>
  </si>
  <si>
    <t>35.03.10, 35.04.09</t>
  </si>
  <si>
    <t>Рекомендовано в качестве учебного пособия для студентов высших учебных заведений, обучающихся по направлению подготовки «Ландшафтная архитектура» (35.03.10 — бакалавриат и 35.04.09 — магистратура)</t>
  </si>
  <si>
    <t>682965.03.01</t>
  </si>
  <si>
    <t>Ландшафтная архитектура с основами проектир.: Уч.пос. / В.С.Теодоронский - 2 изд.-М.:Форум, НИЦ ИНФРА-М,2022-304с(П)</t>
  </si>
  <si>
    <t>978-5-00091-579-0</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</si>
  <si>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35.02.12 "Садово-парковое и ландшафтное строительство" (протокол № 6 от 06.04.2020)</t>
  </si>
  <si>
    <t>682965.05.01</t>
  </si>
  <si>
    <t>Ландшафтная архитектура с основами проектир.: Уч.пос./В.С.Теодоронский-3изд.-М.:НИЦ ИНФРА-М,2024-389с(СПО)(п)</t>
  </si>
  <si>
    <t>ЛАНДШАФТНАЯ АРХИТЕКТУРА С ОСНОВАМИ ПРОЕКТИРОВАНИЯ, ИЗД.3</t>
  </si>
  <si>
    <t>978-5-16-019018-1</t>
  </si>
  <si>
    <t>137550.15.01</t>
  </si>
  <si>
    <t>Ландшафтная архитектура: теор.и прак.: Уч.пос. / В.С.Теодоронский - 3 изд.-М.:НИЦ ИНФРА-М,2024-389 с.(ВО)(п)</t>
  </si>
  <si>
    <t>ЛАНДШАФТНАЯ АРХИТЕКТУРА: ТЕОРИЯ И ПРАКТИКА, ИЗД.3</t>
  </si>
  <si>
    <t>Теодоронский В.С., Боговая И.О., Теодоронский В.С.</t>
  </si>
  <si>
    <t>978-5-16-019986-3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</si>
  <si>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35.03.10 «Ландшафтная архитектура» (квалификация (степень) «бакалавр») (протокол № 6 от 16.06.2021)</t>
  </si>
  <si>
    <t>0322</t>
  </si>
  <si>
    <t>682966.08.01</t>
  </si>
  <si>
    <t>Ландшафтное проектирование: Уч.пос. / Ю.В.Разумовский - 2 изд.-М.:НИЦ ИНФРА-М,2024.-140 с.(СПО)(П)</t>
  </si>
  <si>
    <t>ЛАНДШАФТНОЕ ПРОЕКТИРОВАНИЕ, ИЗД.2</t>
  </si>
  <si>
    <t>Разумовский Ю.В., Фурсова Л.М., Теодоронский В.С.</t>
  </si>
  <si>
    <t>978-5-16-016772-5</t>
  </si>
  <si>
    <t>180600.12.01</t>
  </si>
  <si>
    <t>Ландшафтное проектирование: Уч.пос. / Ю.В.Разумовский-2 изд.-М.:НИЦ ИНФРА-М,2024-140с. [16]с.(ВО)(п)</t>
  </si>
  <si>
    <t>978-5-16-018549-1</t>
  </si>
  <si>
    <t>Рекомендовано Учебно-методическим объединением по образованию в области лесного дела в качестве учебного пособия для студентов вузов, обучающихся по направлению подготовки «Ландшафтная архитектура»</t>
  </si>
  <si>
    <t>813148.02.01</t>
  </si>
  <si>
    <t>Латинский язык и основы проф. терминологии: Уч.пос. / Е.А.Грудева-М.:НИЦ ИНФРА-М,2024.-223 с.(ВО)(п)</t>
  </si>
  <si>
    <t>ЛАТИНСКИЙ ЯЗЫК И ОСНОВЫ ПРОФЕССИОНАЛЬНОЙ ТЕРМИНОЛОГИИ</t>
  </si>
  <si>
    <t>Грудева Е.А.</t>
  </si>
  <si>
    <t>978-5-16-019364-9</t>
  </si>
  <si>
    <t>36.02.01, 36.03.01, 36.05.01</t>
  </si>
  <si>
    <t>Ставропольский государственный аграрный университет</t>
  </si>
  <si>
    <t>143400.10.01</t>
  </si>
  <si>
    <t>Латинский язык: Уч. / Н.А. Гончарова - 5 изд. - М.: ИНФРА-М, 2024 - 408 с. (ВО) (п)</t>
  </si>
  <si>
    <t>ЛАТИНСКИЙ ЯЗЫК, ИЗД.5</t>
  </si>
  <si>
    <t>Гончарова Н. А.</t>
  </si>
  <si>
    <t>978-5-16-018669-6</t>
  </si>
  <si>
    <t>40.03.01, 40.04.01, 44.03.01, 44.03.05</t>
  </si>
  <si>
    <t>Утверждено Министерстовм образования Республики Беларусь в качестве учебника для студентов гуманитарных специальностей высших учебных заведений</t>
  </si>
  <si>
    <t>692963.05.01</t>
  </si>
  <si>
    <t>Латинский язык: Уч. для бакалавриата / Л.А.Брусенская и др.-М.:Юр.Норма, НИЦ ИНФРА-М,2023.-288 с.(П)</t>
  </si>
  <si>
    <t>ЛАТИНСКИЙ ЯЗЫК</t>
  </si>
  <si>
    <t>Брусенская Л.А., Куликова Э.Г., Беляева И.В.</t>
  </si>
  <si>
    <t>978-5-91768-961-6</t>
  </si>
  <si>
    <t>714990.03.01</t>
  </si>
  <si>
    <t>Лев Толстой и его современники: Энц. / Г.В.Алексеева.-М.:НИЦ ИНФРА-М,2021.-726 с.(П)</t>
  </si>
  <si>
    <t>ЛЕВ ТОЛСТОЙ И ЕГО СОВРЕМЕННИКИ</t>
  </si>
  <si>
    <t>Алексеева Г.В., Алексеева О.В., Аленина А.А. и др.</t>
  </si>
  <si>
    <t>978-5-16-016106-8</t>
  </si>
  <si>
    <t>Энциклопедия</t>
  </si>
  <si>
    <t>45.03.01, 45.04.01, 45.06.01</t>
  </si>
  <si>
    <t>Северный (Арктический) федеральный университет им. М.В. Ломоносова</t>
  </si>
  <si>
    <t>656314.04.01</t>
  </si>
  <si>
    <t>Лексикологический синтез докум.в комп.информ.сист.: Моногр. / Б.В.Черников-М.:ИД ФОРУМ,2023-336с(П)</t>
  </si>
  <si>
    <t>ЛЕКСИКОЛОГИЧЕСКИЙ СИНТЕЗ ДОКУМЕНТОВ В КОМПЛЕКСАХ ИНФОРМАЦИОННЫХ СИСТЕМ</t>
  </si>
  <si>
    <t>Черников Б.В.</t>
  </si>
  <si>
    <t>978-5-8199-0682-8</t>
  </si>
  <si>
    <t>10.02.01, 10.05.05, 26.04.01, 29.03.02, 38.04.02, 46.04.02</t>
  </si>
  <si>
    <t>221500.06.01</t>
  </si>
  <si>
    <t>Лексическая репрезент. фрейма "внимание": Моногр. / О.Н.Прохорова - М.:НИЦ ИНФРА-М,2023-108с(о)</t>
  </si>
  <si>
    <t>ЛЕКСИЧЕСКАЯ РЕПРЕЗЕНТАЦИЯ ФРЕЙМА "ВНИМАНИЕ": СЕМАНТИЧЕСКИЙ АСПЕКТ</t>
  </si>
  <si>
    <t>Прохорова О.Н., Чекулай И.В., Багана Ж. и др.</t>
  </si>
  <si>
    <t>978-5-16-008973-7</t>
  </si>
  <si>
    <t>40.03.01, 44.03.01, 44.03.05, 45.03.01, 45.04.01</t>
  </si>
  <si>
    <t>653170.08.01</t>
  </si>
  <si>
    <t>Лекторское мастерство: Уч.пос. / А.К.Михальская - М.:НИЦ ИНФРА-М,2024 - 172 с.(ВО: Магистратура)(П)</t>
  </si>
  <si>
    <t>ЛЕКТОРСКОЕ МАСТЕРСТВО</t>
  </si>
  <si>
    <t>Михальская А.К.</t>
  </si>
  <si>
    <t>978-5-16-012997-6</t>
  </si>
  <si>
    <t>37.03.01, 39.04.02, 41.03.06, 44.03.01, 44.03.05, 44.04.01, 45.04.02</t>
  </si>
  <si>
    <t>Рекомендовано в качестве учебного пособия  для студентов высших учебных заведений, обучающихся по направлениям подготовки 44.03.01 «Педагогическое образование», 44.03.02 «Психолого-педагогическое образование», 44.03.04 «Профессиональное обучение (по отраслям)» (квалификация (степень) «магистр»)</t>
  </si>
  <si>
    <t>Школа профессора Михальской</t>
  </si>
  <si>
    <t>798670.01.01</t>
  </si>
  <si>
    <t>Лекции по социальной философии: лекции-М.:Юр. НОРМА, НИЦ ИНФРА-М,2023.-392 с.(п)</t>
  </si>
  <si>
    <t>ЛЕКЦИИ ПО СОЦИАЛЬНОЙ ФИЛОСОФИИ</t>
  </si>
  <si>
    <t>978-5-00156-288-7</t>
  </si>
  <si>
    <t>Лекции</t>
  </si>
  <si>
    <t>39.03.01, 47.03.01</t>
  </si>
  <si>
    <t>796101.01.01</t>
  </si>
  <si>
    <t>Лидерство и возвышение великих держав</t>
  </si>
  <si>
    <t>ЛИДЕРСТВО И ВОЗВЫШЕНИЕ ВЕЛИКИХ ДЕРЖАВ</t>
  </si>
  <si>
    <t>Янь С.</t>
  </si>
  <si>
    <t>978-5-9776-0546-5</t>
  </si>
  <si>
    <t>725225.03.01</t>
  </si>
  <si>
    <t>Лидерство: Уч. / В.Э.Багдасарян-М.:НИЦ ИНФРА-М,2023.-339 с.(ВО: Бакалавриат)(П)</t>
  </si>
  <si>
    <t>ЛИДЕРСТВО</t>
  </si>
  <si>
    <t>978-5-16-016204-1</t>
  </si>
  <si>
    <t>00.03.07, 38.03.02, 41.03.06, 44.03.01, 44.03.02, 44.03.03, 44.03.04, 44.03.05, 44.04.01, 44.04.02, 44.04.03, 44.04.04, 44.05.01, 46.03.01</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</si>
  <si>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педагогическим направлениям подготовки (квалификация (степень) «бакалавр») (протокол № 10 от 12.10.2020)</t>
  </si>
  <si>
    <t>699570.03.01</t>
  </si>
  <si>
    <t>Лингвистические основы деловой коммуникации: Уч. / Т.И.Сурикова - М.:НИЦ ИНФРА-М,2024 - 248 с.(ВО)(п)</t>
  </si>
  <si>
    <t>ЛИНГВИСТИЧЕСКИЕ ОСНОВЫ ДЕЛОВОЙ КОММУНИКАЦИИ</t>
  </si>
  <si>
    <t>Сурикова Т.И., Коньков В.И.</t>
  </si>
  <si>
    <t>978-5-16-018925-3</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</si>
  <si>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управленческим направлениям подготовки (квалификация (степень) «бакалавр») (протокол № 11 от 09.11.2020)</t>
  </si>
  <si>
    <t>Московский государственный университет им. М.В. Ломоносова, факультет журналистики</t>
  </si>
  <si>
    <t>680155.05.01</t>
  </si>
  <si>
    <t>Лингвокультурологический сл.географ.назв.Великобритании и США / С.И.Гарагуля-М.:НИЦ ИНФРА-М,2023-257с.(П)</t>
  </si>
  <si>
    <t>ЛИНГВОКУЛЬТУРОЛОГИЧЕСКИЙ СЛОВАРЬ ГЕОГРАФИЧЕСКИХ НАЗВАНИЙ ВЕЛИКОБРИТАНИИ И США.</t>
  </si>
  <si>
    <t>978-5-16-014103-9</t>
  </si>
  <si>
    <t>45.03.02, 45.03.03, 45.03.04, 45.05.01</t>
  </si>
  <si>
    <t>684989.06.01</t>
  </si>
  <si>
    <t>Лингвосемиотика милитарно-медийного дискурса: Моногр. / Н.Г.Склярова-М.:НИЦ ИНФРА-М,2023.-88 с.(О)</t>
  </si>
  <si>
    <t>ЛИНГВОСЕМИОТИКА МИЛИТАРНО-МЕДИЙНОГО ДИСКУРСА (НА МАТЕРИАЛЕ СОВРЕМЕННЫХ ПУБЛИКАЦИЙ АНГЛОЯЗЫЧНЫХ СМИ)</t>
  </si>
  <si>
    <t>978-5-16-014176-3</t>
  </si>
  <si>
    <t>45.03.03, 51.03.01</t>
  </si>
  <si>
    <t>164850.09.01</t>
  </si>
  <si>
    <t>Лингвосинергетика поэтического текста: Моногр. / Е.Ю.Муратова - М.:НИЦ ИНФРА-М,2022 - 220 с(Науч.мысль)(О)</t>
  </si>
  <si>
    <t>ЛИНГВОСИНЕРГЕТИКА ПОЭТИЧЕСКОГО ТЕКСТА</t>
  </si>
  <si>
    <t>Муратова Е.Ю.</t>
  </si>
  <si>
    <t>978-5-16-005168-0</t>
  </si>
  <si>
    <t>44.03.01, 44.03.05, 44.04.01, 45.03.01, 45.03.02, 45.04.01, 45.04.02</t>
  </si>
  <si>
    <t>133110.08.01</t>
  </si>
  <si>
    <t>Лиризм русской прозы 30-х г. XIXв.: Моногр. / В.Н.Остапцева-М.:НИЦ ИНФРА-М,2022-128с.(Науч.мысль)(О)</t>
  </si>
  <si>
    <t>ЛИРИЗМ РУССКОЙ ПРОЗЫ 30-Х ГОДОВ XIX ВЕКА</t>
  </si>
  <si>
    <t>Остапцева В.Н.</t>
  </si>
  <si>
    <t>978-5-16-009749-7</t>
  </si>
  <si>
    <t>Гуманитарно - социальный институт</t>
  </si>
  <si>
    <t>648192.01.01</t>
  </si>
  <si>
    <t>Литература и культура Древнего мира: Уч.пос. / Б.А.Гиленсон - М.:НИЦ ИНФРА-М,2017 - 315 с.-(ВО)(П)</t>
  </si>
  <si>
    <t>ЛИТЕРАТУРА И КУЛЬТУРА ДРЕВНЕГО МИРА</t>
  </si>
  <si>
    <t>978-5-16-012489-6</t>
  </si>
  <si>
    <t>45.03.01, 45.04.01, 45.06.01, 45.07.01, 51.04.01, 51.06.01</t>
  </si>
  <si>
    <t>Допущено Учебно-методическим объединением  по направлениям педагогического образования  в качестве учебного пособия для студентов высших учебных заведений,  обучающихся по направлению 45.03.01 «Филология»</t>
  </si>
  <si>
    <t>648192.05.01</t>
  </si>
  <si>
    <t>Литература и культура Древнего мира: Уч.пос. / Б.А.Гиленсон-2 изд.-М.:НИЦ ИНФРА-М,2024-315с.(ВО)(П)</t>
  </si>
  <si>
    <t>ЛИТЕРАТУРА И КУЛЬТУРА ДРЕВНЕГО МИРА, ИЗД.2</t>
  </si>
  <si>
    <t>978-5-16-014253-1</t>
  </si>
  <si>
    <t>Допущено Учебно-методическим объединением по направлениям педагогического образования в качестве учебного пособия для студентов высших учебных заведений, обучающихся по направлению 45.03.01 «Филология»</t>
  </si>
  <si>
    <t>820926.01.01</t>
  </si>
  <si>
    <t>Литература Испании: Уч.пос. / О.Е.Гевель-М.:НИЦ ИНФРА-М, СФУ,2024.-110 с.(ВО (СФУ))(о)</t>
  </si>
  <si>
    <t>ЛИТЕРАТУРА ИСПАНИИ</t>
  </si>
  <si>
    <t>Гевель О.Е.</t>
  </si>
  <si>
    <t>978-5-16-019594-0</t>
  </si>
  <si>
    <t>45.03.01, 45.03.03, 45.05.01</t>
  </si>
  <si>
    <t>701998.02.01</t>
  </si>
  <si>
    <t>Литература народов России: Уч.пос. / Под ред. Хайруллина Р.З. - М.:НИЦ ИНФРА-М,2022 - 395 с.(СПО)(П)</t>
  </si>
  <si>
    <t>ЛИТЕРАТУРА НАРОДОВ РОССИИ</t>
  </si>
  <si>
    <t>Хайруллин Р.З., Зайцева Т.И., Алибаев З.А. и др.</t>
  </si>
  <si>
    <t>978-5-16-014814-4</t>
  </si>
  <si>
    <t>00.02.09</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</si>
  <si>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группе гуманитарных специальностей (протокол № 8 от 29.04.2019)</t>
  </si>
  <si>
    <t>Российский новый университет</t>
  </si>
  <si>
    <t>381200.08.01</t>
  </si>
  <si>
    <t>Литература народов России: Уч.пос. / Под ред. Хайруллина Р.З. - М.:НИЦ ИНФРА-М,2023 - 396 с.(ВО)(П)</t>
  </si>
  <si>
    <t>978-5-16-011145-2</t>
  </si>
  <si>
    <t>Рекомендовано в качестве учебного пособия для студентов высших учебных заведений, обучающихся по направлениям подготовки 45.03.01 «Филология», 44.03.01 «Педагогическое образование» (квалификация (степень) «бакалавр»)</t>
  </si>
  <si>
    <t>763313.04.01</t>
  </si>
  <si>
    <t>Литература финно-угорских народов России: Уч.пос. / Р.З.Хайруллин.-М.:НИЦ ИНФРА-М,2024.-384 с.(ВО)(п)</t>
  </si>
  <si>
    <t>ЛИТЕРАТУРА ФИННО-УГОРСКИХ НАРОДОВ РОССИИ</t>
  </si>
  <si>
    <t>Хайруллин Р.З., Зайцева Т.И., Кузнецова Т.Л. и др.</t>
  </si>
  <si>
    <t>978-5-16-017499-0</t>
  </si>
  <si>
    <t>41.03.01, 44.03.01, 45.04.01, 45.06.01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</si>
  <si>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45.03.01 «Филология», 44.03.01 «Педагогическое образование» (квалификация (степень) «бакалавр») (протокол № 3 от 09.03.2022)</t>
  </si>
  <si>
    <t>675231.07.01</t>
  </si>
  <si>
    <t>Литературное мастерство: Creative Writing: Уч. / А.К.Михальская - М.:НИЦ ИНФРА-М,2024-347 с.(ВО)(П)</t>
  </si>
  <si>
    <t>ЛИТЕРАТУРНОЕ МАСТЕРСТВО: CREATIVE WRITING</t>
  </si>
  <si>
    <t>978-5-16-014653-9</t>
  </si>
  <si>
    <t>52.05.04</t>
  </si>
  <si>
    <t>642408.08.01</t>
  </si>
  <si>
    <t>Литературное редакт. текстов средств мас. информ.: Уч.пос./ Т.И.Сурикова-М.:НИЦ ИНФРА-М,2024-152 с.(ВО)(П)</t>
  </si>
  <si>
    <t>ЛИТЕРАТУРНОЕ РЕДАКТИРОВАНИЕ ТЕКСТОВ СРЕДСТВ МАССОВОЙ ИНФОРМАЦИИ</t>
  </si>
  <si>
    <t>Сурикова Т.И.</t>
  </si>
  <si>
    <t>978-5-16-019206-2</t>
  </si>
  <si>
    <t>42.03.01, 42.03.02, 42.03.03, 42.03.04, 42.03.05</t>
  </si>
  <si>
    <t>Рекомендовано Учебно-методическим советом по направлению подготовки «Журналистика» в качестве учебного пособия для студентов образовательных организаций высшего образования, обучающихся по направлению подготовки 42.03.02 «Журналистика» (квалификация (степень) «бакалавр»)</t>
  </si>
  <si>
    <t>753313.03.01</t>
  </si>
  <si>
    <t>Литературный английский язык: Уч.пос. / З.В.Маньковская-М.:НИЦ ИНФРА-М,2023.-295 с.(ВО: Бакалавр.)(П)</t>
  </si>
  <si>
    <t>ЛИТЕРАТУРНЫЙ АНГЛИЙСКИЙ ЯЗЫК</t>
  </si>
  <si>
    <t>978-5-16-016855-5</t>
  </si>
  <si>
    <t>00.03.02, 00.05.02, 45.03.02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</si>
  <si>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45.03.02 «Лингвистика» (квалификация (степень) «бакалавр») (протокол № 2 от 09.02.2022)</t>
  </si>
  <si>
    <t>768779.04.01</t>
  </si>
  <si>
    <t>Личностная компетентность спец. правоохранит...: Моногр./О.А.Ульянина-М.:ИЦ РИОР, НИЦ ИНФРА-М,2024-220с(П)</t>
  </si>
  <si>
    <t>ЛИЧНОСТНАЯ КОМПЕТЕНТНОСТЬ СПЕЦИАЛИСТОВ ПРАВООХРАНИТЕЛЬНОЙ СФЕРЫ: ПСИХОТЕХНОЛОГИИ ФОРМИРОВАНИЯ В ОБРАЗОВАТЕЛЬНЫХ ОРГАНИЗАЦИЯХ ВЫСШЕГО ОБРАЗОВАНИЯ</t>
  </si>
  <si>
    <t>Ульянина О.А.</t>
  </si>
  <si>
    <t>978-5-369-01884-2</t>
  </si>
  <si>
    <t>40.05.02, 40.05.04, 40.06.01</t>
  </si>
  <si>
    <t>767666.02.01</t>
  </si>
  <si>
    <t>Личность в рос. социальной философии: Моногр. / К.К.Оганян-М.:НИЦ ИНФРА-М,2023.-292 с.(Науч.мысль)(О)</t>
  </si>
  <si>
    <t>ЛИЧНОСТЬ В РОССИЙСКОЙ СОЦИАЛЬНОЙ ФИЛОСОФИИ: ГЕНЕЗИС УПРАВЛЕНЧЕСКОЙ МЫСЛИ</t>
  </si>
  <si>
    <t>978-5-16-017480-8</t>
  </si>
  <si>
    <t>39.04.01, 47.04.01</t>
  </si>
  <si>
    <t>392200.08.01</t>
  </si>
  <si>
    <t>Логика для бакалавров: Уч.пос. / С.М.Марков - М.:ИЦ РИОР,НИЦ ИНФРА-М,2023 - 159с.(ВО:Бакалавр.)(о)</t>
  </si>
  <si>
    <t>ЛОГИКА ДЛЯ БАКАЛАВРОВ</t>
  </si>
  <si>
    <t>Марков С.М.</t>
  </si>
  <si>
    <t>978-5-369-01507-0</t>
  </si>
  <si>
    <t>37.03.01, 38.03.01, 40.03.01, 41.03.06, 42.03.02, 42.03.03, 44.03.05, 47.03.01, 47.03.02, 49.04.01, 49.04.02</t>
  </si>
  <si>
    <t>732014.05.01</t>
  </si>
  <si>
    <t>Логика. Теория аргументации: Уч.пос. / В.В.Дягилев-М.:НИЦ ИНФРА-М,2023.-192 сВО: Бакалавр.)(П)</t>
  </si>
  <si>
    <t>ЛОГИКА. ТЕОРИЯ АРГУМЕНТАЦИИ</t>
  </si>
  <si>
    <t>Дягилев В.В., Разов П.В.</t>
  </si>
  <si>
    <t>978-5-16-016183-9</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</si>
  <si>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гуманитарным направлениям подготовки (квалификация (степень) «бакалавр») (протокол № 6 от 16.06.2021)</t>
  </si>
  <si>
    <t>664375.07.01</t>
  </si>
  <si>
    <t>Логика: основы рассуждения и науч.анализа: Уч.пос. / В.Г.Кузнецов - М.:НИЦ ИНФРА-М,2024 - 290с(ВО)(п)</t>
  </si>
  <si>
    <t>ЛОГИКА: ОСНОВЫ РАССУЖДЕНИЯ И НАУЧНОГО АНАЛИЗА</t>
  </si>
  <si>
    <t>Кузнецов В.Г., Егоров Ю.Д.</t>
  </si>
  <si>
    <t>978-5-16-019281-9</t>
  </si>
  <si>
    <t>37.03.01, 37.03.02, 37.04.01, 37.04.02, 37.05.01, 38.03.01, 38.03.02, 38.03.03, 39.03.01, 40.02.02, 40.03.01, 40.04.01, 40.05.01, 40.05.02, 40.05.03, 41.03.04, 41.03.06, 42.03.02, 42.03.03, 44.03.05, 47.03.01, 47.03.02, 49.04.01, 49.04.02</t>
  </si>
  <si>
    <t>Рекомендовано Учебно-методическим советом ВО в качестве учебного пособия для студентов высших учебных заведений, обучающихся по гуманитарным направлениям подготовки (квалификация (степень) «бакалавр»)</t>
  </si>
  <si>
    <t>647270.11.01</t>
  </si>
  <si>
    <t>Логика: Уч. / В.И.Кириллов - 3 изд., стер. - М.:Юр.Норма, НИЦ ИНФРА-М,2024 - 240 с.(П)</t>
  </si>
  <si>
    <t>ЛОГИКА, ИЗД.3</t>
  </si>
  <si>
    <t>Кириллов В.И.</t>
  </si>
  <si>
    <t>978-5-91768-860-2</t>
  </si>
  <si>
    <t>37.03.01, 38.03.01, 40.02.02, 40.03.01, 41.03.06, 42.03.02, 42.03.03, 44.03.05, 47.03.01, 47.03.02, 49.04.01, 49.04.02</t>
  </si>
  <si>
    <t>Московский государственный медико-стоматологический университет им. А.И. Евдокимова</t>
  </si>
  <si>
    <t>0317</t>
  </si>
  <si>
    <t>706544.06.01</t>
  </si>
  <si>
    <t>Логика: Уч. для бакалавриата / Л.А.Демина и др. - М.:Юр.Норма, НИЦ ИНФРА-М,2024 - 224 с.(п)</t>
  </si>
  <si>
    <t>ЛОГИКА</t>
  </si>
  <si>
    <t>Демина Л.А., Гунибский М.Ш., Пржиленский В.И. и др.</t>
  </si>
  <si>
    <t>978-5-91768-644-8</t>
  </si>
  <si>
    <t>37.03.01, 37.05.01, 38.03.01, 40.02.02, 40.03.01, 40.05.01, 40.05.02, 40.05.03, 41.03.06, 42.03.02, 42.03.03, 44.03.05, 47.03.01, 47.03.02, 49.04.01, 49.04.02</t>
  </si>
  <si>
    <t>177150.12.01</t>
  </si>
  <si>
    <t>Логика: Уч.пос. / В.К.Батурин - М.:КУРС,НИЦ ИНФРА-М,2024 - 96с.(ВО:Бакалавриат)(о)</t>
  </si>
  <si>
    <t>Батурин В. К.</t>
  </si>
  <si>
    <t>978-5-905554-06-3</t>
  </si>
  <si>
    <t>37.03.01, 38.03.01, 38.03.02, 38.04.01, 38.04.02, 40.02.02, 40.03.01, 41.03.06, 44.03.05</t>
  </si>
  <si>
    <t>Российская академия народного хозяйства и государственной службы при Президенте РФ, ф-л Дальневосточный институт управления</t>
  </si>
  <si>
    <t>697022.03.01</t>
  </si>
  <si>
    <t>Логика: Уч.пос. / Е.А.Воронцов - М.:НИЦ ИНФРА-М,2023 - 134 с.-(ВО: Бакалавриат)(О)</t>
  </si>
  <si>
    <t>978-5-16-014904-2</t>
  </si>
  <si>
    <t>37.03.01, 37.05.01, 38.03.01, 40.03.01, 40.05.01, 40.05.02, 40.05.03, 41.03.06, 42.03.02, 42.03.03, 44.03.05, 47.03.01, 47.03.02</t>
  </si>
  <si>
    <t>Рекомендовано Межрегиональным учебно-методическим советом профессионального образования в качестве учебного пособия для реализации образовательных программ высшего образования по гуманитарным направлениям подготовки бакалавриата (протокол № 10 от 27.05.2019)</t>
  </si>
  <si>
    <t>745699.02.01</t>
  </si>
  <si>
    <t>Логика: Уч.пос. / Е.А.Воронцов - М.:НИЦ ИНФРА-М,2023 - 134 с.-(ВО: Специалитет)(О)</t>
  </si>
  <si>
    <t>978-5-16-016546-2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</si>
  <si>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программам специалитета  (протокол № 8 от 22.06.2020)</t>
  </si>
  <si>
    <t>704066.02.01</t>
  </si>
  <si>
    <t>Логика: Уч.пос. / Е.А.Воронцов - М.:НИЦ ИНФРА-М,2023 - 134 с.-(СПО)(О)</t>
  </si>
  <si>
    <t>978-5-16-014907-3</t>
  </si>
  <si>
    <t>Общее образование / Среднее общее образование</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</si>
  <si>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40.02.00 «Юриспруденция» (протокол № 2 от 28.01.2019)</t>
  </si>
  <si>
    <t>3?</t>
  </si>
  <si>
    <t>049360.09.01</t>
  </si>
  <si>
    <t>Логика: Уч.пос. / Е.Б.Ерина - 2 изд. - М.:ИЦ РИОР,ИНФРА-М,2023 - 112 с.-(Карм. уч. пос.)(О)</t>
  </si>
  <si>
    <t>ЛОГИКА, ИЗД.2</t>
  </si>
  <si>
    <t>Карманное учебное пособие</t>
  </si>
  <si>
    <t>978-5-369-00923-9</t>
  </si>
  <si>
    <t>37.03.01, 40.03.01, 40.05.01, 40.05.02, 40.05.03</t>
  </si>
  <si>
    <t>063480.07.01</t>
  </si>
  <si>
    <t>Логика: Шпаргалка  -М.: ИЦ РИОР, НИЦ ИНФРА-М, -96 с..-(Шпаргалка [отрывная])(О)</t>
  </si>
  <si>
    <t>Шпаргалка [отрывная]</t>
  </si>
  <si>
    <t>978-5-369-00705-1</t>
  </si>
  <si>
    <t>Шпаргалка</t>
  </si>
  <si>
    <t>40.03.01, 47.03.01, 47.03.02, 47.03.03</t>
  </si>
  <si>
    <t>688077.01.01</t>
  </si>
  <si>
    <t>Логика:Уч. / В.И.Кириллов, - 3-е изд., стер.-М.:Юр.Норма, НИЦ ИНФРА-М,2024.-240 с..-(СПО)(п)</t>
  </si>
  <si>
    <t>978-5-00156-379-2</t>
  </si>
  <si>
    <t>417950.07.01</t>
  </si>
  <si>
    <t>М. Горький и писатели Сибири: Моногр. / Л.В.Суматохина - М.:НИЦ ИНФРА-М,2024 - 237 с.(Науч.мысль)(О)</t>
  </si>
  <si>
    <t>М. ГОРЬКИЙ И ПИСАТЕЛИ СИБИРИ</t>
  </si>
  <si>
    <t>Суматохина Л. В.</t>
  </si>
  <si>
    <t>978-5-16-019055-6</t>
  </si>
  <si>
    <t>45.03.01, 45.04.01, 51.03.01, 51.03.06, 52.03.04, 52.03.05</t>
  </si>
  <si>
    <t>Институт мировой литературы им. А.М. Горького Российской академии наук</t>
  </si>
  <si>
    <t>720622.04.01</t>
  </si>
  <si>
    <t>Макс Вебер: инвариантность господства: Моногр. / Э.Н.Ожиганов-М.:НИЦ ИНФРА-М,2023.-179 с.(Науч.мысль)(О)</t>
  </si>
  <si>
    <t>МАКС ВЕБЕР: ИНВАРИАНТНОСТЬ ГОСПОДСТВА</t>
  </si>
  <si>
    <t>Ожиганов Э.Н.</t>
  </si>
  <si>
    <t>978-5-16-015720-7</t>
  </si>
  <si>
    <t>456850.05.01</t>
  </si>
  <si>
    <t>Маргарет Тэтчер и германский вопрос: Моногр./ И.И. Ковяко. - М.: НИЦ ИНФРА-М, 2024. - 142 с. (о)</t>
  </si>
  <si>
    <t>МАРГАРЕТ ТЭТЧЕР И ГЕРМАНСКИЙ ВОПРОС.</t>
  </si>
  <si>
    <t>Ковяко И. И.</t>
  </si>
  <si>
    <t>978-5-16-009385-7</t>
  </si>
  <si>
    <t>632079.05.01</t>
  </si>
  <si>
    <t>Марк Твен: судьба "короля смеха": Моногр. / Б.А.Гиленсон-М.:НИЦ ИНФРА-М,2024-248с.(Науч.мысль)(п)</t>
  </si>
  <si>
    <t>МАРК ТВЕН: СУДЬБА "КОРОЛЯ СМЕХА"</t>
  </si>
  <si>
    <t>978-5-16-012025-6</t>
  </si>
  <si>
    <t>41.03.06, 42.03.02, 42.03.03, 42.03.04, 52.03.04, 52.03.05</t>
  </si>
  <si>
    <t>750225.01.01</t>
  </si>
  <si>
    <t>Маркетинговая  лингвистика: Уч. / Под ред. Гончаровой Л.М.-М.:НИЦ ИНФРА-М,2023.-290 с.(ВО:Магистр)(п)</t>
  </si>
  <si>
    <t>МАРКЕТИНГОВАЯ  ЛИНГВИСТИКА</t>
  </si>
  <si>
    <t>Гончарова Л.М., Ксензенко О.А., Марченко Е.П. и др.</t>
  </si>
  <si>
    <t>978-5-16-017598-0</t>
  </si>
  <si>
    <t>42.03.01, 42.04.01, 45.03.02, 51.03.01</t>
  </si>
  <si>
    <t>Государственный институт русского языка им. А.С. Пушкина</t>
  </si>
  <si>
    <t>684808.05.01</t>
  </si>
  <si>
    <t>Маркетри и инкрустация (искус. и...): Уч.пос. / А.С.Хворостов-М.:Форум, НИЦ ИНФРА-М,2024.-223, [24] с.:цв.ил.(СПО)(П)</t>
  </si>
  <si>
    <t>МАРКЕТРИ И ИНКРУСТАЦИЯ (ИСКУССТВО И ТЕХНОЛОГИЯ)</t>
  </si>
  <si>
    <t>Хворостов А.С., Хворостов Д.А.</t>
  </si>
  <si>
    <t>978-5-00091-590-5</t>
  </si>
  <si>
    <t>54.02.01, 54.02.02, 54.02.03</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</si>
  <si>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художественно-графическим специальностям (протокол № 12 от 24.06.2019)</t>
  </si>
  <si>
    <t>Орловский государственный университет им. И.С. Тургенева</t>
  </si>
  <si>
    <t>243400.07.01</t>
  </si>
  <si>
    <t>Маркетри и инкрустация (искусство и технол.): Уч.пос. / А.С.Хворостов - М.:Форум: ИНФРА-М, 2024-224с(ВО) (о)</t>
  </si>
  <si>
    <t>978-5-91134-823-6</t>
  </si>
  <si>
    <t>54.03.01, 54.03.02, 54.03.03, 54.04.01, 54.04.02, 54.04.03</t>
  </si>
  <si>
    <t>218300.09.01</t>
  </si>
  <si>
    <t>Массмедиа в социокультурном пространстве: Уч.пос. / В.А.Евдокимов-М.:НИЦ ИНФРА-М,2024.224с(ВО)(П)</t>
  </si>
  <si>
    <t>МАССМЕДИА В СОЦИОКУЛЬТУРНОМ ПРОСТРАНСТВЕ</t>
  </si>
  <si>
    <t>Евдокимов В. А.</t>
  </si>
  <si>
    <t>978-5-16-006932-6</t>
  </si>
  <si>
    <t>41.03.06, 42.03.02, 42.04.02</t>
  </si>
  <si>
    <t>Допущено УМО по классическому университетскому образованию в качестве учебного пособия для студентов высших учебных заведений, обучающихся по направлению подготовки 42.04.02 «Журналистика»</t>
  </si>
  <si>
    <t>Омская гуманитарная академия</t>
  </si>
  <si>
    <t>658763.11.01</t>
  </si>
  <si>
    <t>Массмедиа как сфера применения полит.технологий: Уч.пос./ В.А.Евдокимов - М.:НИЦ ИНФРА-М,2024-230с.(ВО)(П)</t>
  </si>
  <si>
    <t>МАССМЕДИА КАК СФЕРА ПРИМЕНЕНИЯ ПОЛИТИЧЕСКИХ ТЕХНОЛОГИЙ</t>
  </si>
  <si>
    <t>Евдокимов В.А.</t>
  </si>
  <si>
    <t>978-5-16-012974-7</t>
  </si>
  <si>
    <t>41.03.04, 41.03.06, 41.04.04, 42.03.01, 42.03.02, 42.04.01, 42.04.02</t>
  </si>
  <si>
    <t>646535.04.01</t>
  </si>
  <si>
    <t>Математические методы в психологии (логопедии): Уч.пос. / А.И.Новиков-М.:НИЦ ИНФРА-М,2023-376с.(ВО)(П)</t>
  </si>
  <si>
    <t>МАТЕМАТИЧЕСКИЕ МЕТОДЫ В ПСИХОЛОГИИ (ЛОГОПЕДИИ)</t>
  </si>
  <si>
    <t>Новиков А.И., Новикова Н.В.</t>
  </si>
  <si>
    <t>978-5-16-018745-7</t>
  </si>
  <si>
    <t>37.03.01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</si>
  <si>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37.03.01 «Психология» (квалификация (степень) «бакалавр») (протокол № 17 от 11.11.2019)</t>
  </si>
  <si>
    <t>Российский университет кооперации</t>
  </si>
  <si>
    <t>282800.09.01</t>
  </si>
  <si>
    <t>Математические методы в психологии: Уч.пос. / А.И.Новиков - 2 изд. - М.:НИЦ ИНФРА-М,2023 - 288 с.(ВО)(п)</t>
  </si>
  <si>
    <t>МАТЕМАТИЧЕСКИЕ МЕТОДЫ В ПСИХОЛОГИИ, ИЗД.2</t>
  </si>
  <si>
    <t>978-5-16-011253-4</t>
  </si>
  <si>
    <t>Рекомендовано федеральным государственным бюджетным образовательным учреждением высшего профессионального образования «Санкт-Петербургский государственный университет» в качестве учебного пособия по дисциплине «Математические методы в психологии" для</t>
  </si>
  <si>
    <t>282800.03.01</t>
  </si>
  <si>
    <t>Математические методы в психологии: Уч.пос. / А.И.Новиков-М.:НИЦ ИНФРА-М,2018.-256с.(ВО:Бакалавриат)</t>
  </si>
  <si>
    <t>МАТЕМАТИЧЕСКИЕ МЕТОДЫ В ПСИХОЛОГИИ</t>
  </si>
  <si>
    <t>А.И.Новиков, Н.В.Новикова</t>
  </si>
  <si>
    <t>978-5-16-009891-3</t>
  </si>
  <si>
    <t>267200.04.01</t>
  </si>
  <si>
    <t>Математические методы в совр. соц. науках: Уч. пос./Г.В.Осипов - М:Норма:ИНФРА-М,2019 - 384 с.(п)</t>
  </si>
  <si>
    <t>МАТЕМАТИЧЕСКИЕ МЕТОДЫ В СОВРЕМЕННЫХ СОЦИАЛЬНЫХ НАУКАХ</t>
  </si>
  <si>
    <t>Осипов Г. В., Лисичкин В. А., Садовничий В. А.</t>
  </si>
  <si>
    <t>978-5-91768-470-3</t>
  </si>
  <si>
    <t>402900.11.01</t>
  </si>
  <si>
    <t>Материаловедение (Дизайн костюма): Уч. / Е.А.Кирсанова - М.:Вуз. уч., НИЦ ИНФРА-М,2023 - 395 с.(ВО)(П)</t>
  </si>
  <si>
    <t>МАТЕРИАЛОВЕДЕНИЕ (ДИЗАЙН КОСТЮМА)</t>
  </si>
  <si>
    <t>Кирсанова Е.А., Шустов Ю.С., Куличенко А.В. и др.</t>
  </si>
  <si>
    <t>978-5-9558-0242-8</t>
  </si>
  <si>
    <t>51.03.02, 51.04.02, 54.03.01, 54.03.03, 54.04.01, 54.04.03</t>
  </si>
  <si>
    <t>Рекомендовано Учебно-методическим объединением вузов по образованию в области дизайна, монументального и декоративного искусств в качестве учебника для студентов высших учебных заведений, обучающихся по направлениям бакалавриата и магистратуры и специальности «Дизайн»</t>
  </si>
  <si>
    <t>682969.06.01</t>
  </si>
  <si>
    <t>Материаловедение (дизайн костюма): Уч. / Е.А.Кирсанова - М.:Вуз.уч.,НИЦ ИНФРА-М,2024 - 395с(СПО)(П)</t>
  </si>
  <si>
    <t>978-5-9558-0647-1</t>
  </si>
  <si>
    <t>54.02.01, 54.02.03</t>
  </si>
  <si>
    <t>Рекомендовано Учебно-методическим советом СПО в качестве учебника для студентов учебных заведений, реализующих программу среднего профессионального образования по специальностям 54.02.01 «Дизайн (по отраслям)», 54.02.02 «Декоративно-прикладное искусство и народные промыслы (по видам)», 54.02.03 «Художественное оформление изделий текстильной и легкой промышленности»</t>
  </si>
  <si>
    <t>161200.14.01</t>
  </si>
  <si>
    <t>Материально-технич. база библиотек: Уч.пос. / Л.И.Алешин - М.:Форум, НИЦ ИНФРА-М,2024 - 448 с.(ВО)(П)</t>
  </si>
  <si>
    <t>МАТЕРИАЛЬНО-ТЕХНИЧЕСКАЯ БАЗА БИБЛИОТЕК</t>
  </si>
  <si>
    <t>978-5-00091-767-1</t>
  </si>
  <si>
    <t>51.02.03</t>
  </si>
  <si>
    <t>Рекомендовано УМО по образованию в области народной художественной культуры, социально-культурной деятельности и информационных ресурсов в качестве учебного пособия для студентов высших учебных заведений, обучающихся по направлению подготовки 51.03.06 «Библиотечно-информационная деятельность»</t>
  </si>
  <si>
    <t>798334.01.01</t>
  </si>
  <si>
    <t>Материально-техническая база библиотек: Уч.пос. / Л.И.Алешин-М.:Форум, НИЦ ИНФРА-М,2023.-448 с.(СПО)(п)</t>
  </si>
  <si>
    <t>978-5-00091-770-1</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</si>
  <si>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51.02.03 «Библиотековедение» (протокол № 10 от 21.12.2022)</t>
  </si>
  <si>
    <t>435500.07.01</t>
  </si>
  <si>
    <t>Мегаполис в зеркале социальной философии: Моногр./В.А.Есаков-М.:НИЦ ИНФРА-М,2020-176с(Науч.мысль)(о)</t>
  </si>
  <si>
    <t>МЕГАПОЛИС В ЗЕРКАЛЕ СОЦИАЛЬНОЙ ФИЛОСОФИИ</t>
  </si>
  <si>
    <t>Есаков В.А.</t>
  </si>
  <si>
    <t>978-5-16-011329-6</t>
  </si>
  <si>
    <t>40.03.01, 44.03.01, 44.03.05, 47.03.01, 47.04.01, 47.06.01</t>
  </si>
  <si>
    <t>632923.04.01</t>
  </si>
  <si>
    <t>Междисциплинарные исслед.личн.в социол.:Моногр. / К.К.Оганян-М.:НИЦ ИНФРА-М,2023-194с(Науч.мысль)(П)</t>
  </si>
  <si>
    <t>МЕЖДИСЦИПЛИНАРНЫЕ ИССЛЕДОВАНИЯ ЛИЧНОСТИ В СОЦИОЛОГИИ: СРАВНИТЕЛЬНЫЙ АНАЛИЗ</t>
  </si>
  <si>
    <t>978-5-16-012035-5</t>
  </si>
  <si>
    <t>39.04.01, 44.03.01, 44.03.05</t>
  </si>
  <si>
    <t>696947.02.01</t>
  </si>
  <si>
    <t>Междисциплинарный дискурс культуры...: Уч.пос. / Т.С.Злотникова-М.:НИЦ ИНФРА-М,2023.-342с(П)</t>
  </si>
  <si>
    <t>МЕЖДИСЦИПЛИНАРНЫЙ ДИСКУРС КУЛЬТУРЫ (ФИЛОСОФСКО-ПСИХОЛОГИЧЕСКАЯ И СОЦИОКУЛЬТУРНАЯ МЕТОДОЛОГИЯ)</t>
  </si>
  <si>
    <t>978-5-16-014728-4</t>
  </si>
  <si>
    <t>47.03.01, 47.04.01, 51.03.01, 51.04.01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</si>
  <si>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гуманитарным направлениям подготовки (квалификация (степень) «магистр») (протокол № 8 от 22.06.2020)</t>
  </si>
  <si>
    <t>658767.07.01</t>
  </si>
  <si>
    <t>Международная террорист. орг.«Исламское гос.»: Моногр. /В.В.Красинский - М:НИЦ ИНФРА-М,2024-108с(О)</t>
  </si>
  <si>
    <t>МЕЖДУНАРОДНАЯ ТЕРРОРИСТИЧЕСКАЯ ОРГАНИЗАЦИЯ «ИСЛАМСКОЕ ГОСУДАРСТВО»: ИСТОРИЯ, СОВРЕМЕННОСТЬ</t>
  </si>
  <si>
    <t>978-5-16-012878-8</t>
  </si>
  <si>
    <t>40.03.01, 44.03.05</t>
  </si>
  <si>
    <t>412400.07.01</t>
  </si>
  <si>
    <t>Международная торговля: Уч.пос. / А.О.Руднева, - 2 изд.-М.:НИЦ ИНФРА-М,2022-273с(ВО: Бакалавриат)(П)</t>
  </si>
  <si>
    <t>МЕЖДУНАРОДНАЯ ТОРГОВЛЯ, ИЗД.2</t>
  </si>
  <si>
    <t>Руднева А.О.</t>
  </si>
  <si>
    <t>978-5-16-013714-8</t>
  </si>
  <si>
    <t>38.03.01, 38.03.02, 38.03.06, 38.04.01, 38.04.02, 38.04.06, 38.05.02</t>
  </si>
  <si>
    <t>Рекомендовано ФГБОУ ВО «Государственный университет управления» в качестве учебного пособия для студентов высших учебных заведений, обучающихся по направлению подготовки 38.03.01 «Экономика» (квалификация (степень) «бакалавр»)</t>
  </si>
  <si>
    <t>664211.06.01</t>
  </si>
  <si>
    <t>Международные конфликты XXI в.: Уч. / Под ред. Зеленкова М.Ю.-М.:НИЦ ИНФРА-М,2024.-362 с.(ВО)(П)</t>
  </si>
  <si>
    <t>МЕЖДУНАРОДНЫЕ КОНФЛИКТЫ XXI ВЕКА</t>
  </si>
  <si>
    <t>Зеленков М.Ю., Бочарников И.В., Зеленков М.Ю.</t>
  </si>
  <si>
    <t>978-5-16-018830-0</t>
  </si>
  <si>
    <t>41.03.04, 41.03.05, 41.03.06</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</si>
  <si>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укрупненной группе специальностей и направлений 41.03.00 «Политические науки и регионоведение» (квалификация (степень) «бакалавр») (протокол № 4 от 25.02.2019)</t>
  </si>
  <si>
    <t>396600.06.01</t>
  </si>
  <si>
    <t>Международные связи регионов государств...: Уч ./О.В.Плотникова-М.:Юр.Норма, НИЦ ИНФРА-М,2024.-192 с.(О)</t>
  </si>
  <si>
    <t>МЕЖДУНАРОДНЫЕ СВЯЗИ РЕГИОНОВ ГОСУДАРСТВ: ХАРАКТЕРИСТИКА И ОСОБЕННОСТИ</t>
  </si>
  <si>
    <t>Плотникова О.В.</t>
  </si>
  <si>
    <t>978-5-91768-652-3</t>
  </si>
  <si>
    <t>40.03.01, 40.04.01, 44.03.05</t>
  </si>
  <si>
    <t>672318.03.01</t>
  </si>
  <si>
    <t>Международный опыт реализ. гос. молодеж. полит.: Уч.пос./ Т.К.Ростовская -М.:НИЦ ИНФРА-М,2020-120с.(ВО) (О)</t>
  </si>
  <si>
    <t>МЕЖДУНАРОДНЫЙ ОПЫТ РЕАЛИЗАЦИИ ГОСУДАРСТВЕННОЙ МОЛОДЕЖНОЙ ПОЛИТИКИ</t>
  </si>
  <si>
    <t>Ростовская Т.К., Петрова Т.Э.</t>
  </si>
  <si>
    <t>978-5-16-013515-1</t>
  </si>
  <si>
    <t>39.03.01, 39.03.02, 39.03.03, 39.04.01, 39.04.02, 39.04.03, 44.03.02, 44.04.02</t>
  </si>
  <si>
    <t>Рекомендовано в качестве учебного пособия для студентов высших учебных заведений, обучающихся по направлениям подготовки 39.03.03 «Организация работы с молодежью», 39.03.01 «Социология», 39.03.02 «Социальная работа», 44.03.02 «Психолого-педагогическое образование» (квалификация (степень) «бакалавр»)</t>
  </si>
  <si>
    <t>780085.01.01</t>
  </si>
  <si>
    <t>Межкультурная коммуникация в глобальном мире: моделир..: Моногр. / С.А.Большунова-М.:НИЦ ИНФРА-М,2023-266с.(п)</t>
  </si>
  <si>
    <t>МЕЖКУЛЬТУРНАЯ КОММУНИКАЦИЯ В ГЛОБАЛЬНОМ МИРЕ: МОДЕЛИРОВАНИЕ, ЭФФЕКТИВНОСТЬ, ДОВЕРИЕ</t>
  </si>
  <si>
    <t>Большунова С.А., Воеводина Е.В., Дягилев В.В. и др.</t>
  </si>
  <si>
    <t>978-5-16-017897-4</t>
  </si>
  <si>
    <t>37.04.01, 37.04.02, 37.05.02, 37.06.01</t>
  </si>
  <si>
    <t>084090.14.01</t>
  </si>
  <si>
    <t>Менеджмент в молодеж. политике: Уч.пос. / Под общ.ред.  М.П.Переверзева -М.:НИЦ ИНФРА-М,2024-238с(П)</t>
  </si>
  <si>
    <t>МЕНЕДЖМЕНТ В МОЛОДЕЖНОЙ ПОЛИТИКЕ</t>
  </si>
  <si>
    <t>Переверзев М.П., Калинина З.Н., Переверзев М.П.</t>
  </si>
  <si>
    <t>978-5-16-006328-7</t>
  </si>
  <si>
    <t>39.03.03, 39.04.03</t>
  </si>
  <si>
    <t>Допущено  Учебно-методическим объединением по классическому университетскому образованию в качестве учебного пособия для студентов высших учебных заведений, обучающихся по направлению подготовки 39.03.03 «Организация работы с молодежью»</t>
  </si>
  <si>
    <t>656472.09.01</t>
  </si>
  <si>
    <t>Менталитет, ментальность и этнопсихолог. особ. китайцев/В.В.Собольников-М.:Вуз. уч.,НИЦ ИНФРА-М,2024-160с.(О)</t>
  </si>
  <si>
    <t>МЕНТАЛИТЕТ, МЕНТАЛЬНОСТЬ И ЭТНОПСИХОЛОГИЧЕСКИЕ ОСОБЕННОСТИ КИТАЙЦЕВ</t>
  </si>
  <si>
    <t>Собольников В.В.</t>
  </si>
  <si>
    <t>978-5-9558-0561-0</t>
  </si>
  <si>
    <t>37.03.01, 38.03.01, 38.03.02, 38.03.03, 38.04.01, 38.04.02, 38.04.03, 43.03.02, 43.03.03</t>
  </si>
  <si>
    <t>683363.07.01</t>
  </si>
  <si>
    <t>Ментальность поколений в текучей современности: Моногр. / В.И.Пищик-М.:НИЦ ИНФРА-М,2024-150с(О)</t>
  </si>
  <si>
    <t>МЕНТАЛЬНОСТЬ ПОКОЛЕНИЙ В ТЕКУЧЕЙ СОВРЕМЕННОСТИ</t>
  </si>
  <si>
    <t>Пищик В.И.</t>
  </si>
  <si>
    <t>978-5-16-014155-8</t>
  </si>
  <si>
    <t>39.03.01, 39.04.01, 39.06.01, 47.04.01, 47.06.01</t>
  </si>
  <si>
    <t>Донской государственный технический университет</t>
  </si>
  <si>
    <t>163950.06.01</t>
  </si>
  <si>
    <t>Метафизика веры в рус. философии: Моногр. / С.А.Нижников, - 2 изд.-М.:НИЦ ИНФРА-М,2023.-312 с.(Науч.мысль)(О)</t>
  </si>
  <si>
    <t>МЕТАФИЗИКА ВЕРЫ В РУССКОЙ ФИЛОСОФИИ, ИЗД.2</t>
  </si>
  <si>
    <t>Нижников С.А.</t>
  </si>
  <si>
    <t>978-5-16-010328-0</t>
  </si>
  <si>
    <t>40.03.01, 44.03.01, 44.03.05, 47.03.01, 47.03.03, 47.04.01, 47.04.03, 48.03.01, 48.04.01</t>
  </si>
  <si>
    <t>728268.01.01</t>
  </si>
  <si>
    <t>Метафизика творчества: Монография / О.В.Архипова - М.:НИЦ ИНФРА-М,2021 - 186 с.(Науч.мысль)(О)</t>
  </si>
  <si>
    <t>МЕТАФИЗИКА ТВОРЧЕСТВА</t>
  </si>
  <si>
    <t>Архипова О.В., Шор Ю.М.</t>
  </si>
  <si>
    <t>978-5-16-015993-5</t>
  </si>
  <si>
    <t>Санкт-Петербургский государственный экономический университет</t>
  </si>
  <si>
    <t>771221.01.01</t>
  </si>
  <si>
    <t>Метафорические параллели нейтральной номинации...: Моногр. / О.К.Баваева-М.:НИЦ ИНФРА-М,2022.-182 с.(О)</t>
  </si>
  <si>
    <t>МЕТАФОРИЧЕСКИЕ ПАРАЛЛЕЛИ НЕЙТРАЛЬНОЙ НОМИНАЦИИ «ЧЕЛОВЕК» В СОВРЕМЕННОМ АНГЛИЙСКОМ ЯЗЫКЕ</t>
  </si>
  <si>
    <t>Баваева О.К.</t>
  </si>
  <si>
    <t>978-5-16-017491-4</t>
  </si>
  <si>
    <t>45.03.01, 45.04.01, 45.04.02, 45.05.01</t>
  </si>
  <si>
    <t>Институт международного права и экономики им. А.С. Грибоедова</t>
  </si>
  <si>
    <t>405400.08.01</t>
  </si>
  <si>
    <t>Методологические основы психологии: Уч. пос. / Т.И.Чиркова - М.:Вуз.уч.: НИЦ ИНФРА-М, 2022 - 416 с. (п)</t>
  </si>
  <si>
    <t>МЕТОДОЛОГИЧЕСКИЕ ОСНОВЫ ПСИХОЛОГИИ</t>
  </si>
  <si>
    <t>Чиркова Т. И.</t>
  </si>
  <si>
    <t>978-5-9558-0276-3</t>
  </si>
  <si>
    <t>Допущено УМО по классическому университетскому образованию в качестве учебного пособия для студентов высших учебных заведений, обучающихся по специальности  ГОС ВПО 030301 "Психология"</t>
  </si>
  <si>
    <t>177650.08.01</t>
  </si>
  <si>
    <t>Методологические основы этнич. и кросскульт. психологии: Уч. пос. / В.Ю.Хотинец - М.: Форум, 2024-88с. (о)</t>
  </si>
  <si>
    <t>МЕТОДОЛОГИЧЕСКИЕ ОСНОВЫ ЭТНИЧЕСКОЙ И КРОССКУЛЬТУРНОЙ ПСИХОЛОГИИ</t>
  </si>
  <si>
    <t>Хотинец В. Ю.</t>
  </si>
  <si>
    <t>978-5-91134-621-8</t>
  </si>
  <si>
    <t>37.04.01, 46.04.03, 51.04.01</t>
  </si>
  <si>
    <t>742794.03.01</t>
  </si>
  <si>
    <t>Методология и история теологии: Уч.пос. / А.Л.Панищев - М.:НИЦ ИНФРА-М,2023 - 242 с.(ВО: Магистр.)(П)</t>
  </si>
  <si>
    <t>МЕТОДОЛОГИЯ И ИСТОРИЯ ТЕОЛОГИИ</t>
  </si>
  <si>
    <t>978-5-16-016527-1</t>
  </si>
  <si>
    <t>47.04.03, 48.04.01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</si>
  <si>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47.04.03 «Религиоведение», 48.04.01 «Теология» (квалификация (степень) «бакалавр») (протокол № 1 от 20.01.2021)</t>
  </si>
  <si>
    <t>100200.10.01</t>
  </si>
  <si>
    <t>Методология и теория соц. работы: Уч.пос. / П.Д.Павленок - 3 изд. - М.:НИЦ ИНФРА-М,2024 - 271 с.(ВО)(П)</t>
  </si>
  <si>
    <t>МЕТОДОЛОГИЯ И ТЕОРИЯ СОЦИАЛЬНОЙ РАБОТЫ, ИЗД.3</t>
  </si>
  <si>
    <t>978-5-16-015130-4</t>
  </si>
  <si>
    <t>39.04.02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</si>
  <si>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39.04.02 «Социальная работа» (квалификация (степень) «магистр») (протокол № 17 от 11.11.2019)</t>
  </si>
  <si>
    <t>0320</t>
  </si>
  <si>
    <t>100200.06.01</t>
  </si>
  <si>
    <t>Методология и теория социальной работы: уч.пос. / П.Д.Павленок, - 2-е изд.-М.:НИЦ ИНФРА-М,2018.-267 с..-(ВО: Магистратура)(П 7Б</t>
  </si>
  <si>
    <t>МЕТОДОЛОГИЯ И ТЕОРИЯ СОЦИАЛЬНОЙ РАБОТЫ, ИЗД.2</t>
  </si>
  <si>
    <t>Павленок П. Д.</t>
  </si>
  <si>
    <t>978-5-16-009206-5</t>
  </si>
  <si>
    <t>Рекомендовано УМО по образованию в области социальной работы в качестве учебного пособия для студентов высших учебных заведений, обучающихся по направлению и специальности «Социальная работа»</t>
  </si>
  <si>
    <t>411150.08.01</t>
  </si>
  <si>
    <t>Методология качественных исслед. в психологии: Уч.пос. / Н.П.Бусыгина - М.:НИЦ ИНФРА-М,2024-304с.(ВО)(п)</t>
  </si>
  <si>
    <t>МЕТОДОЛОГИЯ КАЧЕСТВЕННЫХ ИССЛЕДОВАНИЙ В ПСИХОЛОГИИ</t>
  </si>
  <si>
    <t>Бусыгина Н.П.</t>
  </si>
  <si>
    <t>978-5-16-019158-4</t>
  </si>
  <si>
    <t>37.03.01, 37.04.01, 44.03.01</t>
  </si>
  <si>
    <t>Допущено УМО по классическому университетскому образованию в качестве учебного пособия для студентов высших учебных заведений, обучающихся по специальностям 37.05.02 «Психология», «Клиническая психология» и направлению подготовки 37.03.01 «Психология»</t>
  </si>
  <si>
    <t>651739.03.01</t>
  </si>
  <si>
    <t>Методология научно-гуманитар. познания: Моногр./ Е.А.Соколков-М.:Вуз. уч., НИЦ ИНФРА-М,2020.-350 с.(Науч. книга)(П)</t>
  </si>
  <si>
    <t>МЕТОДОЛОГИЯ НАУЧНО-ГУМАНИТАРНОГО ПОЗНАНИЯ</t>
  </si>
  <si>
    <t>Соколков Е.А.</t>
  </si>
  <si>
    <t>978-5-9558-0543-6</t>
  </si>
  <si>
    <t>Новосибирский национальный исследовательский государственный университет</t>
  </si>
  <si>
    <t>759446.04.01</t>
  </si>
  <si>
    <t>Методология научных исследований: Уч. / Н.Н.Каргин - М.:НИЦ ИНФРА-М,2024. - 259 с.(ВО:Магистр)(п)</t>
  </si>
  <si>
    <t>МЕТОДОЛОГИЯ НАУЧНЫХ ИССЛЕДОВАНИЙ</t>
  </si>
  <si>
    <t>Каргин Н.Н., Изаак С.И.</t>
  </si>
  <si>
    <t>978-5-16-017831-8</t>
  </si>
  <si>
    <t>00.03.16, 00.04.16, 00.05.16, 43.03.01, 43.03.02, 43.03.03, 43.04.01, 43.04.02, 43.04.03</t>
  </si>
  <si>
    <t>753314.01.01</t>
  </si>
  <si>
    <t>Методология обществоведческого исследования: Уч.пос. / Д.А.Михайлов-М.:НИЦ ИНФРА-М,2023.-179 с.(ВО)(П)</t>
  </si>
  <si>
    <t>МЕТОДОЛОГИЯ ОБЩЕСТВОВЕДЧЕСКОГО ИССЛЕДОВАНИЯ</t>
  </si>
  <si>
    <t>Михайлов Д.А.</t>
  </si>
  <si>
    <t>978-5-16-016894-4</t>
  </si>
  <si>
    <t>38.03.04, 38.04.04, 39.03.01, 39.03.03, 39.04.01, 39.04.03, 40.03.01, 40.04.01, 41.03.01, 41.03.02, 41.03.04, 41.03.05, 41.03.06, 41.04.01, 41.04.02, 41.04.04, 41.04.05, 41.04.06</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</si>
  <si>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укрупненным группам направлений подготовки 38.00.00 «Экономика и управление», 39.00.00 «Социология и социальная работа», 40.00.00 «Юриспруденция», 41.00.00 «Политические науки и регионоведение» (квалификация (степень) «бакалавр») (протокол № 6 от 08.06.2022)</t>
  </si>
  <si>
    <t>646487.05.01</t>
  </si>
  <si>
    <t>Методология социального исследования: Уч.пос. / А.В.Лубский - М.:НИЦ ИНФРА-М,2023 - 154 с.(ВО)(П)</t>
  </si>
  <si>
    <t>МЕТОДОЛОГИЯ СОЦИАЛЬНОГО ИССЛЕДОВАНИЯ</t>
  </si>
  <si>
    <t>Лубский А.В.</t>
  </si>
  <si>
    <t>978-5-16-012467-4</t>
  </si>
  <si>
    <t>39.04.01, 39.04.02, 39.04.03</t>
  </si>
  <si>
    <t>Рекомендовано в качестве учебного пособия  для студентов высших учебных заведений, обучающихся по направлениям подготовки 39.04.01 «Социология», 39.04.02 «Социальная работа», 39.04.03 «Организационная работа с молодежью» (квалификация (степень) «магистр»)</t>
  </si>
  <si>
    <t>174350.09.01</t>
  </si>
  <si>
    <t>Методы исслед. работы в молодежной среде: Уч.пос. / В.О.Евсеев-М.:Вуз. уч., НИЦ ИНФРА-М,2020.-237 с.(П)</t>
  </si>
  <si>
    <t>МЕТОДЫ ИССЛЕДОВАТЕЛЬСКОЙ РАБОТЫ В МОЛОДЕЖНОЙ СРЕДЕ</t>
  </si>
  <si>
    <t>Евсеев В. О., Волгин Н. А.</t>
  </si>
  <si>
    <t>978-5-9558-0236-7</t>
  </si>
  <si>
    <t>39.03.01, 39.03.02, 39.03.03, 39.04.01, 39.04.02, 39.04.03</t>
  </si>
  <si>
    <t>Допущено Советом Учебно-методического объединения по образованию в области менеджмента в качестве учебного пособия для студентов высших учебных заведений, обучающихся по специальности 080400 "Управление персоналом"</t>
  </si>
  <si>
    <t>321100.09.01</t>
  </si>
  <si>
    <t>Методы исследований в соц. работе: Уч. пос. /С.С.Новикова -М.:НИЦ ИНФРА-М,2024-381с(ВО:Бакалавр.)(п)</t>
  </si>
  <si>
    <t>МЕТОДЫ ИССЛЕДОВАНИЙ В СОЦИАЛЬНОЙ РАБОТЕ</t>
  </si>
  <si>
    <t>Новикова С.С., Соловьев А.В.</t>
  </si>
  <si>
    <t>978-5-16-010444-7</t>
  </si>
  <si>
    <t>174350.10.01</t>
  </si>
  <si>
    <t>Методы исследовательской работы в молодежной среде: Уч.пос. / В.О.Евсеев - 2 изд.-М.:НИЦ ИНФРА-М,2024.-268 с.(ВО)(П)</t>
  </si>
  <si>
    <t>МЕТОДЫ ИССЛЕДОВАТЕЛЬСКОЙ РАБОТЫ В МОЛОДЕЖНОЙ СРЕДЕ, ИЗД.2</t>
  </si>
  <si>
    <t>Евсеев В.О., Волгин Н.А., Егорычев А.М.</t>
  </si>
  <si>
    <t>978-5-16-016760-2</t>
  </si>
  <si>
    <t>Допущено Советом Учебно-методического объединения по образованию в области менеджмента ¶в качестве учебного пособия для студентов высших учебных заведений, обучающихся по специальности «Управление персоналом»</t>
  </si>
  <si>
    <t>269600.08.01</t>
  </si>
  <si>
    <t>Методы научного познания: Уч.пос. / С.А.Лебедев - М.:НИЦ ИНФРА-М,2022 - 272 с.(ВО: Магистр.)(П)</t>
  </si>
  <si>
    <t>МЕТОДЫ НАУЧНОГО ПОЗНАНИЯ</t>
  </si>
  <si>
    <t>Лебедев С.А.</t>
  </si>
  <si>
    <t>978-5-16-015244-8</t>
  </si>
  <si>
    <t>Допущено Министерством образования и науки Российской Федерации в качестве учебного пособия по дисциплине «История и философия науки» для аспирантов естественно-научных, технических и гуманитарных специальностей, а также по дисциплинам «Философия», «Философия и методология науки» для студентов, обучающихся по направлению «Философия» (квалификация (степень) «магистр»)</t>
  </si>
  <si>
    <t>055900.18.01</t>
  </si>
  <si>
    <t>Методы социологического исследования: Уч. / В.И.Добреньков-М.:НИЦ ИНФРА-М,2024-768с.(ВО)(п)</t>
  </si>
  <si>
    <t>МЕТОДЫ СОЦИОЛОГИЧЕСКОГО ИССЛЕДОВАНИЯ</t>
  </si>
  <si>
    <t>Добреньков В. И., Кравченко А. И.</t>
  </si>
  <si>
    <t>978-5-16-018913-0</t>
  </si>
  <si>
    <t>38.04.03, 39.03.01, 39.04.01</t>
  </si>
  <si>
    <t>Допущено Министерством образования РФ в качестве учебника для студентов высших учебных заведений, обучающихся по специальности 020300 "Социология"</t>
  </si>
  <si>
    <t>Московский государственный университет им. М.В. Ломоносова, социологический факультет</t>
  </si>
  <si>
    <t>0104</t>
  </si>
  <si>
    <t>668702.03.01</t>
  </si>
  <si>
    <t>Методы этимологических исследований: Уч.пос. / О.А.Теуш-М.:НИЦ ИНФРА-М,2023.-166 с.(ВО:Бакалавр.)(П)</t>
  </si>
  <si>
    <t>МЕТОДЫ ЭТИМОЛОГИЧЕСКИХ ИССЛЕДОВАНИЙ</t>
  </si>
  <si>
    <t>Теуш О.А.</t>
  </si>
  <si>
    <t>978-5-16-013798-8</t>
  </si>
  <si>
    <t>45.03.01, 45.04.01, 45.04.02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</si>
  <si>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45.03.01 «Филология» (квалификация (степень) «бакалавр») (протокол № 6 от 25.03.2019)</t>
  </si>
  <si>
    <t>Уральский федеральный университет им. первого Президента России Б.Н. Ельцина</t>
  </si>
  <si>
    <t>060100.14.01</t>
  </si>
  <si>
    <t>Микросоциология семьи: Уч. / А.И.Антонов - 3 изд. - М.:НИЦ ИНФРА-М,2024 - 368 с.(ВО:Бакалавриат)(п)</t>
  </si>
  <si>
    <t>МИКРОСОЦИОЛОГИЯ СЕМЬИ, ИЗД.3</t>
  </si>
  <si>
    <t>Антонов А.И.</t>
  </si>
  <si>
    <t>978-5-16-013776-6</t>
  </si>
  <si>
    <t>Допущено Учебно-методическим объединением по классическому университетскому образованию в качестве учебника для студентов высших учебных заведений, обучающихся по направлению подготовки 39.03.01 «Социология» (квалификация (степень) «бакалавр»)</t>
  </si>
  <si>
    <t>0318</t>
  </si>
  <si>
    <t>060100.09.01</t>
  </si>
  <si>
    <t>Микросоциология семьи: Уч./ А.И.Антонов - 2 изд. - М.:ИНФРА-М,2018-368с(Классический универ. уч.)(п)</t>
  </si>
  <si>
    <t>МИКРОСОЦИОЛОГИЯ СЕМЬИ, ИЗД.2</t>
  </si>
  <si>
    <t>Антонов А. И.</t>
  </si>
  <si>
    <t>Классический университетский учебник</t>
  </si>
  <si>
    <t>5-16-002250-3</t>
  </si>
  <si>
    <t>Допущено Учебно-методическим объединением по классическому университетскому образованию в качестве учебника для студентов высших учебных заведенений, обучающихся по специальности 020300 "Социология"</t>
  </si>
  <si>
    <t>000029.16.01</t>
  </si>
  <si>
    <t>Мини-грамматика английского языка: Справ. пос. / И.Е. Торбан - 3 изд. - М.: ИНФРА-М, 2024. - 112 с. (о. к/ф)</t>
  </si>
  <si>
    <t>МИНИ-ГРАММАТИКА АНГЛИЙСКОГО ЯЗЫКА, ИЗД.3</t>
  </si>
  <si>
    <t>978-5-16-003174-3</t>
  </si>
  <si>
    <t>Дополнительное образование</t>
  </si>
  <si>
    <t>00.02.02, 00.03.02, 00.05.02</t>
  </si>
  <si>
    <t>0308</t>
  </si>
  <si>
    <t>387000.04.01</t>
  </si>
  <si>
    <t>Мир политики. Философское измерение: Монография / А.И.Демидов-М.:Юр.Норма, НИЦ ИНФРА-М,2023-272с.(П)</t>
  </si>
  <si>
    <t>МИР ПОЛИТИКИ. ФИЛОСОФСКОЕ ИЗМЕРЕНИЕ</t>
  </si>
  <si>
    <t>Демидов А.И.</t>
  </si>
  <si>
    <t>978-5-91768-732-2</t>
  </si>
  <si>
    <t>40.03.01, 41.04.04, 44.03.01, 44.03.05, 47.03.01</t>
  </si>
  <si>
    <t>682984.07.01</t>
  </si>
  <si>
    <t>Мировая культура и искусство: Уч.пос. / И.И.Толстикова, - 2 изд.-М.:НИЦ ИНФРА-М,2024.-418 с.(СПО)(п)</t>
  </si>
  <si>
    <t>МИРОВАЯ КУЛЬТУРА И ИСКУССТВО, ИЗД.2</t>
  </si>
  <si>
    <t>Толстикова И.И.</t>
  </si>
  <si>
    <t>978-5-16-013974-6</t>
  </si>
  <si>
    <t>43.02.17, 50.02.01, 51.02.01, 51.02.02</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</si>
  <si>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50.02.01 «Мировая художественная культура», 51.02.01 «Народное художественное творчество (по видам)», 51.02.01«Социально-культурная деятельность (по видам)»</t>
  </si>
  <si>
    <t>Национальный исследовательский университет ИТМО</t>
  </si>
  <si>
    <t>152100.11.01</t>
  </si>
  <si>
    <t>Мировая культура и искусство: Уч.пос. / Толстикова И.И. - 2 изд. - М.:НИЦ ИНФРА-М,2023-418с(ВО)(п)</t>
  </si>
  <si>
    <t>Толстикова И.И., Садохин А.П.</t>
  </si>
  <si>
    <t>978-5-16-019386-1</t>
  </si>
  <si>
    <t>00.03.05, 00.05.05, 44.03.01, 44.03.05, 51.03.01, 51.04.01</t>
  </si>
  <si>
    <t>Рекомендовано Учебно-методическим объединением вузов Российской Федерации по образованию в области историко-архивоведения в качестве учебного пособия для студентов высших учебных заведений, обучающихся по направлению 51.03.01 «Культурология»</t>
  </si>
  <si>
    <t>689674.03.01</t>
  </si>
  <si>
    <t>Мировая худ. культура: Уч.пос. / М.С.Колесов - М.:НИЦ ИНФРА-М,2024 - 281 с.-(СПО (СевГУ))(П)</t>
  </si>
  <si>
    <t>МИРОВАЯ ХУДОЖЕСТВЕННАЯ КУЛЬТУРА</t>
  </si>
  <si>
    <t>Среднее профессиональное образование (СевГУ)</t>
  </si>
  <si>
    <t>978-5-16-015231-8</t>
  </si>
  <si>
    <t>54.01.01, 54.01.02, 54.01.05, 54.01.06, 54.01.08, 54.01.09, 54.01.12, 54.01.13, 54.01.14, 54.01.15, 54.01.16, 54.01.17, 54.01.18, 54.01.19, 54.01.20, 54.02.01, 54.02.02, 54.02.03, 54.02.04, 54.02.05, 54.02.06, 54.02.07, 54.02.08</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</si>
  <si>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основную программу среднего профессионального образования (протокол № 17 от 11.11.2019)</t>
  </si>
  <si>
    <t>470200.03.01</t>
  </si>
  <si>
    <t>Мировая экономика и междунар.эконом.отношения: Практ./ В.К.Поспелов-М.:Вуз.уч.,НИЦ ИНФРА-М,2018-136с</t>
  </si>
  <si>
    <t>МИРОВАЯ ЭКОНОМИКА И МЕЖДУНАРОДНЫЕ ЭКОНОМИЧЕСКИЕ ОТНОШЕНИЯ</t>
  </si>
  <si>
    <t>Поспелов В.К., Миронова В.Н., Орлова Н.Л. и др.</t>
  </si>
  <si>
    <t>Финансовый университет при Правительстве РФ</t>
  </si>
  <si>
    <t>978-5-9558-0481-1</t>
  </si>
  <si>
    <t>38.03.01</t>
  </si>
  <si>
    <t>268600.09.01</t>
  </si>
  <si>
    <t>Мировое комплексное регионовед.: Уч. / Под ред.Воскресенского А.Д. - М.:Магистр,НИЦ ИНФРА-М,2023 - 416 с(П)</t>
  </si>
  <si>
    <t>МИРОВОЕ КОМПЛЕКСНОЕ РЕГИОНОВЕДЕНИЕ</t>
  </si>
  <si>
    <t>Воскресенский А. Д., Колдунова Е. В., Киреева А. А., Воскресенский А. Д.</t>
  </si>
  <si>
    <t>978-5-9776-0309-6</t>
  </si>
  <si>
    <t>41.04.01, 41.04.04, 41.04.05</t>
  </si>
  <si>
    <t>Допущено Учебно-методическим объединением вузов Российской Федерации по образованию в области международных отношений в качестве учебника для студентов вузов, обучающихся по направлениям подготовки (специальностям) «Международные отношения» и «Зарубе</t>
  </si>
  <si>
    <t>Московский государственный институт международных отношений (университет) Министерства иностранных дел Российской Федерации</t>
  </si>
  <si>
    <t>767764.01.01</t>
  </si>
  <si>
    <t>Мировоззренческая инволюция: причины...: Моногр. / А.А.Лагунов-М.:НИЦ ИНФРА-М,2022.-195 с.(Науч.мысль)(О)</t>
  </si>
  <si>
    <t>МИРОВОЗЗРЕНЧЕСКАЯ ИНВОЛЮЦИЯ: ПРИЧИНЫ, ПОСЛЕДСТВИЯ И ПЕРСПЕКТИВЫ</t>
  </si>
  <si>
    <t>Лагунов А.А.</t>
  </si>
  <si>
    <t>978-5-16-017325-2</t>
  </si>
  <si>
    <t>733607.03.01</t>
  </si>
  <si>
    <t>Миф о Наполеоне в рус. клас. XIX в. (А.С. Пушкин...): Моногр. / И.В.Артамонова-М.:НИЦ ИНФРА-М,2024.-170 с.(О)</t>
  </si>
  <si>
    <t>МИФ О НАПОЛЕОНЕ В РУССКОЙ КЛАССИКЕ XIX ВЕКА (А.С. ПУШКИН, М.Ю. ЛЕРМОНТОВ, Н.В. ГОГОЛЬ)</t>
  </si>
  <si>
    <t>Артамонова И.В.</t>
  </si>
  <si>
    <t>978-5-16-016107-5</t>
  </si>
  <si>
    <t>44.04.01, 44.06.01, 45.04.01, 45.06.01</t>
  </si>
  <si>
    <t>435400.06.01</t>
  </si>
  <si>
    <t>Мифология, философия и немножко теории систем: Моногр. / Л.А.Петрушенко-М.:НИЦ ИНФРА-М,2024.-118с(О)</t>
  </si>
  <si>
    <t>МИФОЛОГИЯ, ФИЛОСОФИЯ И НЕМНОЖКО ТЕОРИИ СИСТЕМ</t>
  </si>
  <si>
    <t>Петрушенко Л.А.</t>
  </si>
  <si>
    <t>978-5-16-011318-0</t>
  </si>
  <si>
    <t>01.04.01, 02.04.01, 09.03.03, 09.04.04, 10.04.01, 27.04.03, 38.04.05, 40.03.01, 41.03.04, 41.03.05, 41.04.04, 44.03.01, 44.03.05, 46.03.01, 47.03.01, 51.03.02</t>
  </si>
  <si>
    <t>232100.08.01</t>
  </si>
  <si>
    <t>Михаил Пришвин и Василий Розанов: мировоззрен..: Моногр./А.М.Подоксенов-М.:РИОР:ИНФРА-М,2023-298с(О)</t>
  </si>
  <si>
    <t>МИХАИЛ ПРИШВИН И ВАСИЛИЙ РОЗАНОВ: МИРОВОЗЗРЕНЧЕСКИЕ КОНТЕКСТЫ ТВОРЧЕСКОГО ДИАЛОГА</t>
  </si>
  <si>
    <t>Подоксенов А.М.</t>
  </si>
  <si>
    <t>978-5-369-01272-7</t>
  </si>
  <si>
    <t>42.03.02, 44.03.05, 45.03.01, 47.03.01, 47.04.01, 51.03.01, 51.04.01</t>
  </si>
  <si>
    <t>751092.04.01</t>
  </si>
  <si>
    <t>Михаил Пришвин и рус. культура ХIХ-ХХ в.: Моногр. / А.М.Подоксенов - М.:НИЦ ИНФРА-М,2023 - 324 с.(Науч.мысль)(О)</t>
  </si>
  <si>
    <t>МИХАИЛ ПРИШВИН И РУССКАЯ КУЛЬТУРА ХIХ-ХХ ВЕКОВ: ДИАЛОГИ С ЭПОХОЙ</t>
  </si>
  <si>
    <t>978-5-16-016854-8</t>
  </si>
  <si>
    <t>00.03.05, 00.03.09, 00.05.05, 00.05.09, 44.04.01, 44.06.01, 45.03.01, 45.04.01, 45.06.01, 51.04.01, 51.06.01</t>
  </si>
  <si>
    <t>164150.07.01</t>
  </si>
  <si>
    <t>Многоэтничное сообщество в поисках маршрута..: Моногр./И.А.Савченко -М.:ИЦ РИОР:ИНФРА-М,2019-189с(о)</t>
  </si>
  <si>
    <t>МНОГОЭТНИЧНОЕ СООБЩЕСТВО В ПОИСКАХ МАРШРУТА ИНТЕГРАЦИИ</t>
  </si>
  <si>
    <t>978-5-369-00975-8</t>
  </si>
  <si>
    <t>37.03.01, 39.03.01, 39.03.02, 39.03.03, 39.04.01, 39.04.02, 44.03.01, 44.03.05</t>
  </si>
  <si>
    <t>301300.06.01</t>
  </si>
  <si>
    <t>Моделирование соц. явлений и процессов с прим.матем.: Уч.пос./ Г.В.Осипов - Норма:НИЦ ИНФРА-М,2022 - 192с(п)</t>
  </si>
  <si>
    <t>МОДЕЛИРОВАНИЕ СОЦИАЛЬНЫХ ЯВЛЕНИЙ И ПРОЦЕССОВ С ПРИМЕНЕНИЕМ МАТЕМАТИЧЕСКИХ МЕТОДОВ</t>
  </si>
  <si>
    <t>978-5-91768-533-5</t>
  </si>
  <si>
    <t>37.04.02, 39.04.01, 39.04.03, 47.04.02</t>
  </si>
  <si>
    <t>684701.02.01</t>
  </si>
  <si>
    <t>Модель системы расселения будущего: Уч.пос. / Ю.И.Пацкевич-М.:НИЦ ИНФРА-М,2023.-188 с.(ВО: Бакалавр.)(П)</t>
  </si>
  <si>
    <t>МОДЕЛЬ СИСТЕМЫ РАССЕЛЕНИЯ БУДУЩЕГО</t>
  </si>
  <si>
    <t>978-5-16-014679-9</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</si>
  <si>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07.03.01 «Архитектура» (квалификация (степень) «бакалавр») (протокол № 6 от 16.06.2021)</t>
  </si>
  <si>
    <t>725316.05.01</t>
  </si>
  <si>
    <t>Модернизация Сов. России в 1920-1930-е г... / И.А.Анфертьев - М.:ИНФРА-М,2024 - 593 с.(П)</t>
  </si>
  <si>
    <t>МОДЕРНИЗАЦИЯ СОВЕТСКОЙ РОССИИ В 1920-1930-Е ГОДЫ: ПРОГРАММЫ ПРЕОБРАЗОВАНИЙ РКП(Б) — ВКП(Б) КАК ИНСТРУМЕНТЫ БОРЬБЫ ЗА ВЛАСТЬ</t>
  </si>
  <si>
    <t>Анфертьев И.А.</t>
  </si>
  <si>
    <t>978-5-16-015876-1</t>
  </si>
  <si>
    <t>725101.04.01</t>
  </si>
  <si>
    <t>Молодая семья в совр. рос...: Моногр. / П.В.Разов - М.:НИЦ ИНФРА-М,2024 - 210 с.-(О)</t>
  </si>
  <si>
    <t>МОЛОДАЯ СЕМЬЯ В СОВРЕМЕННОМ РОССИЙСКОМ СОЦИУМЕ: ОБРАЗ И КАЧЕСТВО ЖИЗНИ</t>
  </si>
  <si>
    <t>Разов П.В., Преснякова-Осипова И.В., Юшкова С.А.</t>
  </si>
  <si>
    <t>978-5-16-015899-0</t>
  </si>
  <si>
    <t>39.03.01, 39.03.03, 39.04.01, 39.04.03, 39.06.01</t>
  </si>
  <si>
    <t>740841.02.01</t>
  </si>
  <si>
    <t>Молодежь в культурном пространстве...: Моногр. / В.И.Чупров-М.:Юр.Норма,2020.-304 с.(П)</t>
  </si>
  <si>
    <t>МОЛОДЕЖЬ В КУЛЬТУРНОМ ПРОСТРАНСТВЕ: САМОРЕГУЛЯЦИЯ ЖИЗНЕДЕЯТЕЛЬНОСТИ</t>
  </si>
  <si>
    <t>Чупров В.И., Зубок Ю.А.</t>
  </si>
  <si>
    <t>978-5-00156-082-1</t>
  </si>
  <si>
    <t>39.04.03, 39.06.01</t>
  </si>
  <si>
    <t>412350.08.01</t>
  </si>
  <si>
    <t>Монастырская просветит.культура России: Моногр. / Н.Е.Шафажинская -М.:НИЦ ИНФРА-М,2023-232 с.(О)</t>
  </si>
  <si>
    <t>МОНАСТЫРСКАЯ ПРОСВЕТИТЕЛЬСКАЯ КУЛЬТУРА РОССИИ</t>
  </si>
  <si>
    <t>Шафажинская Н.Е.</t>
  </si>
  <si>
    <t>978-5-16-006462-8</t>
  </si>
  <si>
    <t>44.03.05, 46.03.01, 46.04.01, 46.06.01, 47.03.03, 47.04.03, 47.06.01</t>
  </si>
  <si>
    <t>246200.03.01</t>
  </si>
  <si>
    <t>Монголия: мир кочевой культуры: Уч.пос. / Н.Л.Жуковская - 2 изд.-М.: РИОР:ИНФРА-М,2024-239с(ВО)(о)</t>
  </si>
  <si>
    <t>МОНГОЛИЯ: МИР КОЧЕВОЙ КУЛЬТУРЫ, ИЗД.2</t>
  </si>
  <si>
    <t>Жуковская Н.Л.</t>
  </si>
  <si>
    <t>978-5-369-01300-7</t>
  </si>
  <si>
    <t>41.03.01, 41.03.06, 41.04.01, 46.03.03, 46.04.03, 47.03.03, 47.04.03, 51.03.01, 51.04.01</t>
  </si>
  <si>
    <t>Якутский научный центр Сибирского отделения Российской академии наук</t>
  </si>
  <si>
    <t>258500.09.01</t>
  </si>
  <si>
    <t>Монеты и банкноты от античности до наших дней / Н.А. Разманова - М.:Вуз.. уч.: ИНФРА-М, 2024-216с. (п)</t>
  </si>
  <si>
    <t>МОНЕТЫ И БАНКНОТЫ ОТ АНТИЧНОСТИ ДО НАШИХ ДНЕЙ: ПРОИСХОЖДЕНИЕ И ЭВОЛЮЦИЯ</t>
  </si>
  <si>
    <t>Разманова Н. А., Лаптева Е. В., Нестеренко Е. И., Муравьева Л. А.</t>
  </si>
  <si>
    <t>978-5-9558-0357-9</t>
  </si>
  <si>
    <t>38.03.01, 38.04.08, 41.03.01, 41.03.05, 41.03.06, 41.04.01, 41.04.05, 44.03.05, 46.03.01, 46.04.01, 51.03.01, 51.04.01</t>
  </si>
  <si>
    <t>654707.04.01</t>
  </si>
  <si>
    <t>Морские конвенции (Learn SOLAS 74 &amp; MARPOL 73/78): Уч.пос. / И.А.Закирьянова, - 3 изд.-М.:Вуз. уч., НИЦ ИНФРА-М,2020-266с(О)</t>
  </si>
  <si>
    <t>МОРСКИЕ КОНВЕНЦИИ (LEARN SOLAS 74 &amp; MARPOL 73/78), ИЗД.3</t>
  </si>
  <si>
    <t>Закирьянова И.А.</t>
  </si>
  <si>
    <t>978-5-9558-0566-5</t>
  </si>
  <si>
    <t>40.03.01, 44.03.01, 44.03.05</t>
  </si>
  <si>
    <t>803179.01.01</t>
  </si>
  <si>
    <t>Музыка как элемент духовной культуры...: Моногр. / Л.П.Шиповская-М.:НИЦ ИНФРА-М,2023.-195 с.(о)</t>
  </si>
  <si>
    <t>МУЗЫКА КАК ЭЛЕМЕНТ ДУХОВНОЙ КУЛЬТУРЫ - МОЩНЫЙ ФАКТОР ИНТЕГРАЦИИ И УНИВЕРСАЛИЗАЦИИ ВСЕЙ ДУХОВНОЙ ЖИЗНИ ОБЩЕСТВА</t>
  </si>
  <si>
    <t>Шиповская Л.П.</t>
  </si>
  <si>
    <t>978-5-16-018740-2</t>
  </si>
  <si>
    <t>Музыка. Нотные издания</t>
  </si>
  <si>
    <t>53.04.06</t>
  </si>
  <si>
    <t>726279.06.01</t>
  </si>
  <si>
    <t>Музыкально-поэтич. представление: Уч.мет.пос. / М.В.Литвинова - М.:НИЦ ИНФРА-М,2024 - 166 с.(ВО)(П)</t>
  </si>
  <si>
    <t>МУЗЫКАЛЬНО-ПОЭТИЧЕСКОЕ ПРЕДСТАВЛЕНИЕ</t>
  </si>
  <si>
    <t>Литвинова М.В., Кожаева И.В.</t>
  </si>
  <si>
    <t>978-5-16-019369-4</t>
  </si>
  <si>
    <t>51.03.05</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</si>
  <si>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51.03.05 «Режиссура театрализованных представлений и праздников» (квалификация (степень) «бакалавр») (протокол № 5 от 26.03.2020)</t>
  </si>
  <si>
    <t>747805.01.01</t>
  </si>
  <si>
    <t>Музыкально-поэтическое представление: Уч.мет.пос. / М.В.Литвинова-М.:НИЦ ИНФРА-М,2021.-166 с..-(СПО)(П)</t>
  </si>
  <si>
    <t>978-5-16-016639-1</t>
  </si>
  <si>
    <t>51.02.01, 51.02.02, 51.02.03</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</si>
  <si>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51.00.00 «Культуроведение и социокультурные проекты» (протокол № 9 от 28.09.2020)</t>
  </si>
  <si>
    <t>724893.01.01</t>
  </si>
  <si>
    <t>Музыкально-эстетическое воспитание: Моногр. / Г.Г.Коломиец - 2 изд. - М.:НИЦ ИНФРА-М,2020-240 с.-(Науч.мысль)(О)</t>
  </si>
  <si>
    <t>МУЗЫКАЛЬНО-ЭСТЕТИЧЕСКОЕ ВОСПИТАНИЕ (АКСИОЛОГИЧЕСКИЙ ПОДХОД), ИЗД.2</t>
  </si>
  <si>
    <t>Коломиец Г.Г.</t>
  </si>
  <si>
    <t>978-5-16-015884-6</t>
  </si>
  <si>
    <t>53.02.01, 53.02.02, 53.03.01, 53.03.02, 53.03.06, 53.04.01, 53.04.02, 53.04.03, 53.04.06, 53.05.04, 53.05.05, 53.09.01, 53.09.02</t>
  </si>
  <si>
    <t>Оренбургский государственный университет</t>
  </si>
  <si>
    <t>767302.01.01</t>
  </si>
  <si>
    <t>Нанокомпьютерная терминология: Вопросы теории: Моногр. / М.Р.Милуд - М.:НИЦ ИНФРА-М,2022-125 с(Науч.мысль)(О)</t>
  </si>
  <si>
    <t>НАНОКОМПЬЮТЕРНАЯ ТЕРМИНОЛОГИЯ: ВОПРОСЫ ТЕОРИИ</t>
  </si>
  <si>
    <t>Милуд М.Р.</t>
  </si>
  <si>
    <t>978-5-16-017405-1</t>
  </si>
  <si>
    <t>09.03.01, 09.04.01, 09.04.02, 09.04.03, 09.04.04, 09.05.01, 09.06.01</t>
  </si>
  <si>
    <t>639130.06.01</t>
  </si>
  <si>
    <t>Народная религ. в совр. крестьянской субкультуре: Моногр. / Т.А.Сережко-М.:НИЦ ИНФРА-М,2024-110с.(О)</t>
  </si>
  <si>
    <t>НАРОДНАЯ РЕЛИГИОЗНОСТЬ В СОВРЕМЕННОЙ КРЕСТЬЯНСКОЙ СУБКУЛЬТУРЕ</t>
  </si>
  <si>
    <t>Сережко Т.А.</t>
  </si>
  <si>
    <t>978-5-16-012457-5</t>
  </si>
  <si>
    <t>44.03.05, 50.04.04</t>
  </si>
  <si>
    <t>Белгородский университет кооперации, экономики и права</t>
  </si>
  <si>
    <t>409450.05.01</t>
  </si>
  <si>
    <t>Народная религиозность как феномен культуры: Моногр./А.А.Мурзин-М.:НИЦ ИНФРА-М,2021.-144с(О)</t>
  </si>
  <si>
    <t>НАРОДНАЯ РЕЛИГИОЗНОСТЬ КАК ФЕНОМЕН КУЛЬТУРЫ</t>
  </si>
  <si>
    <t>Мурзин А. А.</t>
  </si>
  <si>
    <t>978-5-16-006427-7</t>
  </si>
  <si>
    <t>00.03.05, 44.03.05, 47.03.03, 47.04.03</t>
  </si>
  <si>
    <t>453100.06.01</t>
  </si>
  <si>
    <t>Народно-сценический танец: Моногр. / В.Н.Карпенко и др. -М.:НИЦ ИНФРА-М,2024-306с-(Научная мысль)(П)</t>
  </si>
  <si>
    <t>НАРОДНО-СЦЕНИЧЕСКИЙ ТАНЕЦ</t>
  </si>
  <si>
    <t>Карпенко В.Н., Карпенко И.А., Багана Ж.</t>
  </si>
  <si>
    <t>978-5-16-011459-0</t>
  </si>
  <si>
    <t>51.03.02, 52.03.01</t>
  </si>
  <si>
    <t>306400.06.01</t>
  </si>
  <si>
    <t>Наследие Чингисхана: Моногр. / Н.С.Трубецкой - М.:НИЦ ИНФРА-М,2023 - 267 с.-(Евразийский путь)(П)</t>
  </si>
  <si>
    <t>НАСЛЕДИЕ ЧИНГИСХАНА</t>
  </si>
  <si>
    <t>978-5-16-010259-7</t>
  </si>
  <si>
    <t>41.03.04, 41.04.04</t>
  </si>
  <si>
    <t>653101.06.01</t>
  </si>
  <si>
    <t>Научный стиль речи: теория, практика...: Уч.пос. / Н.С.Найденова-М.:НИЦ ИНФРА-М,2024.-232 с.(ВО)(п)</t>
  </si>
  <si>
    <t>НАУЧНЫЙ СТИЛЬ РЕЧИ: ТЕОРИЯ, ПРАКТИКА, КОМПЕТЕНЦИИ</t>
  </si>
  <si>
    <t>Найденова Н.С., Сапрыкина О.А.</t>
  </si>
  <si>
    <t>978-5-16-014517-4</t>
  </si>
  <si>
    <t>00.04.16, 00.05.16, 45.04.01, 45.04.02, 45.05.01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</si>
  <si>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45.04.01 «Филология», 45.04.02 «Лингвистика», 45.05.01 «Перевод и переводоведение» (квалификация (степень) «магистр») (протокол № 12 от 24.06.2019)</t>
  </si>
  <si>
    <t>753346.05.01</t>
  </si>
  <si>
    <t>Национальная идея России во...: Моногр. / В.С.Нерсесянц - М.:Юр.Норма, НИЦ ИНФРА-М,2024 - 64 с.(О)</t>
  </si>
  <si>
    <t>НАЦИОНАЛЬНАЯ ИДЕЯ РОССИИ ВО ВСЕМИРНО-ИСТОРИЧЕСКОМ ПРОГРЕССЕ РАВЕНСТВА, СВОБОДЫ И СПРАВЕДЛИВОСТИ. МАНИФЕСТ О ЦИВИЛИЗМЕ</t>
  </si>
  <si>
    <t>Нерсесянц В.С.</t>
  </si>
  <si>
    <t>978-5-00156-158-3</t>
  </si>
  <si>
    <t>40.03.01, 40.04.01, 40.06.01</t>
  </si>
  <si>
    <t>414900.09.01</t>
  </si>
  <si>
    <t>Национальная политика в России: XVI- нач. XXI в.: Уч.пос. / Л.С.Перепелкин - М.:Форум,2024 - 304 с(ВО)(П)</t>
  </si>
  <si>
    <t>НАЦИОНАЛЬНАЯ ПОЛИТИКА В РОССИИ: XVI- НАЧАЛО XXI ВЕКА</t>
  </si>
  <si>
    <t>Мастюгина Т.М., Перепелкин Л.С., Стельмах В.Г.</t>
  </si>
  <si>
    <t>978-5-91134-701-7</t>
  </si>
  <si>
    <t>41.03.04, 41.03.06, 41.04.04, 46.03.01, 46.04.01</t>
  </si>
  <si>
    <t>Рекомендовано Российским институтом культурологии в качестве учебного пособия для студентов, обучающихся по специальностям 020700 «История», 020600 «Культурология» и 030623 «Этнология»</t>
  </si>
  <si>
    <t>Институт Востоковедения Российской Академии Наук</t>
  </si>
  <si>
    <t>348700.07.01</t>
  </si>
  <si>
    <t>Небольшое здание с простейшей простран.структ.: Уч.пос./Л.А.Красилова-КУРС,НИЦ ИНФРА-М,2023-170с.(о)</t>
  </si>
  <si>
    <t>НЕБОЛЬШОЕ ЗДАНИЕ С ПРОСТЕЙШЕЙ ПРОСТРАНСТВЕННОЙ СТРУКТУРОЙ (ГОСТЕВОЙ ДОМИК ЕГЕРЯ, ПОГРАНИЧНЫЙ ФОРПОСТ, СПАСАТЕЛЬНАЯ СТАНЦИЯ, КРЕСТИЛЬНЫЙ ХРАМ)</t>
  </si>
  <si>
    <t>Красилова Л.А.</t>
  </si>
  <si>
    <t>978-5-905554-89-6</t>
  </si>
  <si>
    <t>07.03.01, 07.03.02, 07.03.03, 07.03.04, 07.04.01, 07.04.02, 07.04.03, 07.04.04, 07.06.01, 07.07.01, 07.09.01, 07.09.03, 08.03.01, 08.04.01, 08.05.01, 08.06.01</t>
  </si>
  <si>
    <t>399800.08.01</t>
  </si>
  <si>
    <t>Невербальный язык немцев: Моногр. / В.И.Дубинский - М.:НИЦ ИНФРА-М,2023 - 82 с..-(Науч.мысль)(О)</t>
  </si>
  <si>
    <t>НЕВЕРБАЛЬНЫЙ ЯЗЫК НЕМЦЕВ</t>
  </si>
  <si>
    <t>Дубинский В.И.</t>
  </si>
  <si>
    <t>978-5-16-011284-8</t>
  </si>
  <si>
    <t>38.03.01, 45.03.01, 51.03.01, 51.03.02</t>
  </si>
  <si>
    <t>639685.02.01</t>
  </si>
  <si>
    <t>Нелепости века: Монография / С.В.Борзых - М.:НИЦ ИНФРА-М,2021 - 167 с.-(Науч.мысль)(о)</t>
  </si>
  <si>
    <t>НЕЛЕПОСТИ ВЕКА</t>
  </si>
  <si>
    <t>978-5-16-016966-8</t>
  </si>
  <si>
    <t>673647.04.01</t>
  </si>
  <si>
    <t>Немецкая лит-ра 1990-х г. Ситуация «поворота»: Моногр/ / Д.А.Чугунов,-2 изд.-М:НИЦ ИНФРА-М,2024-258с(П)</t>
  </si>
  <si>
    <t>НЕМЕЦКАЯ ЛИТЕРАТУРА 1990-Х ГОДОВ. СИТУАЦИЯ «ПОВОРОТА», ИЗД.2</t>
  </si>
  <si>
    <t>978-5-16-013792-6</t>
  </si>
  <si>
    <t>45.03.01, 45.04.01, 45.05.01, 45.06.01</t>
  </si>
  <si>
    <t>374400.03.01</t>
  </si>
  <si>
    <t>Немецкая социология: Уч. пос. / В.В.Афанасьев - М.:НИЦ ИНФРА-М,2023.-101 с.-(ВО: Бакалавриат)(О)</t>
  </si>
  <si>
    <t>НЕМЕЦКАЯ СОЦИОЛОГИЯ</t>
  </si>
  <si>
    <t>978-5-16-011063-9</t>
  </si>
  <si>
    <t>673975.04.01</t>
  </si>
  <si>
    <t>Немецкий яз. для спортсменов. Deutsch für Sportler: Уч.пос. / И.Б.Акиншина-М.:НИЦ ИНФРА-М,2024-228 с.(ВО)(П)</t>
  </si>
  <si>
    <t>НЕМЕЦКИЙ ЯЗЫК ДЛЯ СПОРТСМЕНОВ. DEUTSCH FÜR SPORTLER</t>
  </si>
  <si>
    <t>Акиншина И.Б., Мирошниченко Л.Н.</t>
  </si>
  <si>
    <t>978-5-16-014696-6</t>
  </si>
  <si>
    <t>00.03.02, 49.03.01, 49.03.02, 49.03.03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</si>
  <si>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49.03.00 «Физическая культура и спорт» (квалификация (степень) «бакалавр»)  (протокол № 17 от 11.11.2019)</t>
  </si>
  <si>
    <t>735529.02.01</t>
  </si>
  <si>
    <t>Немецкий яз. для студентов транспортных колледжей: Уч. / М.А.Васильева - М.:НИЦ ИНФРА-М,2024-219 с.(СПО)(П)</t>
  </si>
  <si>
    <t>НЕМЕЦКИЙ ЯЗЫК ДЛЯ СТУДЕНТОВ ТРАНСПОРТНЫХ КОЛЛЕДЖЕЙ</t>
  </si>
  <si>
    <t>Васильева М.А.</t>
  </si>
  <si>
    <t>978-5-16-017322-1</t>
  </si>
  <si>
    <t>00.01.02, 00.02.02</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</si>
  <si>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транспортным специальностям (протокол № 4 от 13.04.2022)</t>
  </si>
  <si>
    <t>711675.01.01</t>
  </si>
  <si>
    <t>Немецкий язык (для экономистов): Уч.пос. / Е.С.Коплякова - М.:НИЦ ИНФРА-М,2019 - 471 с.-(СПО)(П)</t>
  </si>
  <si>
    <t>НЕМЕЦКИЙ ЯЗЫК (ДЛЯ ЭКОНОМИСТОВ)</t>
  </si>
  <si>
    <t>Коплякова Е.С., Веселова Т.В.</t>
  </si>
  <si>
    <t>978-5-16-015342-1</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</si>
  <si>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38.02.00 «Экономика и управление» (протокол № 5 от 11.03.2019)</t>
  </si>
  <si>
    <t>656183.02.01</t>
  </si>
  <si>
    <t>Немецкий язык (для экономистов): Уч.пос. / Е.С.Коплякова-М.:НИЦ ИНФРА-М,2024.-471 с.(ВО)(п)</t>
  </si>
  <si>
    <t>978-5-16-019501-8</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</si>
  <si>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и направлений 38.03.00 «Экономика и управление» (квалификация (степень) «бакалавр») (протокол № 3 от 11.02.2019)</t>
  </si>
  <si>
    <t>451450.07.01</t>
  </si>
  <si>
    <t>Немецкий язык в соц. раб. Профессионально: Уч.пос. / М.С.Абрамова-М.:КУРС, НИЦ ИНФРА-М,2023.-176 с.(о)</t>
  </si>
  <si>
    <t>НЕМЕЦКИЙ ЯЗЫК В СОЦИАЛЬНОЙ РАБОТЕ. ПРОФЕССИОНАЛЬНО</t>
  </si>
  <si>
    <t>Абрамова М. С.</t>
  </si>
  <si>
    <t>978-5-905554-41-4</t>
  </si>
  <si>
    <t>00.03.02, 00.05.02, 39.03.01, 39.03.02, 39.03.03, 39.04.01, 39.04.02, 39.04.03</t>
  </si>
  <si>
    <t>422050.07.01</t>
  </si>
  <si>
    <t>Немецкий язык для студентов технич. спец.: Уч. пос./Е.С.Коплякова - М.:Форум:ИНФРА-М, 2024-272с.(ВО) (П)</t>
  </si>
  <si>
    <t>НЕМЕЦКИЙ ЯЗЫК ДЛЯ СТУДЕНТОВ ТЕХНИЧЕСКИХ СПЕЦИАЛЬНОСТЕЙ</t>
  </si>
  <si>
    <t>Коплякова Е. С., Максимов Ю. В., Веселова Т. В.</t>
  </si>
  <si>
    <t>978-5-91134-728-4</t>
  </si>
  <si>
    <t>Рекомендовано Учебно-методическим объединением по образованию в области лингвистики Министерства образования и науки Российской Федерации в качестве учебного пособия для студентов технических специальностей</t>
  </si>
  <si>
    <t>036938.15.01</t>
  </si>
  <si>
    <t>Немецкий язык для студентов-экономистов: Уч. / М.М.Васильева - 5 изд.-М.:НИЦ ИНФРА-М,2021.-343с(ВО(П)</t>
  </si>
  <si>
    <t>НЕМЕЦКИЙ ЯЗЫК ДЛЯ СТУДЕНТОВ-ЭКОНОМИСТОВ, ИЗД.5</t>
  </si>
  <si>
    <t>Васильева М.М., Мирзабекова Н.М., Сидельникова Е.М.</t>
  </si>
  <si>
    <t>978-5-16-015119-9</t>
  </si>
  <si>
    <t>38.03.01, 38.03.02, 38.03.03, 38.03.04, 38.03.06, 38.03.07</t>
  </si>
  <si>
    <t>Допущено Министерством образования и науки Российской Федерации в качестве учебника для студентов высших учебных заведений, обучающихся по экономическим направлениям и специальностям</t>
  </si>
  <si>
    <t>0520</t>
  </si>
  <si>
    <t>036938.13.01</t>
  </si>
  <si>
    <t>Немецкий язык для студентов-экономистов: уч. / М.М.Васильева и др., - 4-е изд., перераб.-М.:Альфа-М, НИЦ ИНФРА-М,2019.-350 с..-(Бакалавриат)(П</t>
  </si>
  <si>
    <t>НЕМЕЦКИЙ ЯЗЫК ДЛЯ СТУДЕНТОВ-ЭКОНОМИСТОВ, ИЗД.4</t>
  </si>
  <si>
    <t>Васильева М. М., Мирзабекова Н. М., Сидельникова Е. М.</t>
  </si>
  <si>
    <t>Бакалавриат</t>
  </si>
  <si>
    <t>978-5-98281-354-1</t>
  </si>
  <si>
    <t>Допущено Министерством образования РФ в качестве учебника для студентов высших учебных заведений, обучающихся по экономическим специальностям и направлениям</t>
  </si>
  <si>
    <t>459450.11.01</t>
  </si>
  <si>
    <t>Немецкий язык: деловое общение: Уч.пос. / М.М.Васильева-М.:НИЦ ИНФРА-М,2023.-304 с.(ВО)(п)</t>
  </si>
  <si>
    <t>НЕМЕЦКИЙ ЯЗЫК: ДЕЛОВОЕ ОБЩЕНИЕ</t>
  </si>
  <si>
    <t>Васильева М. М., Васильева М. А.</t>
  </si>
  <si>
    <t>978-5-16-018395-4</t>
  </si>
  <si>
    <t>00.03.02, 00.05.02, 38.03.01, 38.03.02, 38.03.03, 38.03.04, 38.03.05, 38.03.06, 38.03.07</t>
  </si>
  <si>
    <t>Рекомендовано Учебно-методическим объединением по образованию в области лингвистики Министерства образования и науки Российской Федерации в качестве учебного пособия по немецкому языку для студентов, обучающихся по лингвистическим специальностям и направлениям</t>
  </si>
  <si>
    <t>656573.02.01</t>
  </si>
  <si>
    <t>Немецкий язык: менеджмент в туризме: Уч.пос. / Е.С.Коплякова - М.:НИЦ ИНФРА-М,2023 - 421 с.(ВО)(П)</t>
  </si>
  <si>
    <t>НЕМЕЦКИЙ ЯЗЫК: МЕНЕДЖМЕНТ В ТУРИЗМЕ</t>
  </si>
  <si>
    <t>Коплякова Е.С., Максимов Ю.В.</t>
  </si>
  <si>
    <t>978-5-16-014177-0</t>
  </si>
  <si>
    <t>38.03.02, 43.03.02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</si>
  <si>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43.03.02 «Туризм» (квалификация (степень) «бакалавр») (протокол № 3 от 17.03.2021)</t>
  </si>
  <si>
    <t>103050.11.01</t>
  </si>
  <si>
    <t>Немецкий язык: туризм и гостиничное дело: Уч. / М.М.Васильева, - М.:НИЦ ИНФРА-М,2024.-302 с.(ВО: Бакалавр.)(П)</t>
  </si>
  <si>
    <t>НЕМЕЦКИЙ ЯЗЫК: ТУРИЗМ И ГОСТИНИЧНОЕ ДЕЛО</t>
  </si>
  <si>
    <t>Васильева М.М., Васильева М.А.</t>
  </si>
  <si>
    <t>978-5-16-013831-2</t>
  </si>
  <si>
    <t>43.03.01, 43.03.02, 43.03.03</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</si>
  <si>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направлениям подготовки  43.03.02 «Туризм», 43.03.03 «Гостиничное дело» (квалификация (степень) «бакалавр») (протокол № 2 от 28.01.2019)</t>
  </si>
  <si>
    <t>709417.06.01</t>
  </si>
  <si>
    <t>Немецкий язык: туризм и гостиничное дело: Уч. / М.М.Васильева-М.:НИЦ ИНФРА-М,2024.-302 с.(СПО)(П)</t>
  </si>
  <si>
    <t>978-5-16-015238-7</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</si>
  <si>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специальностям 43.02.10 «Туризм», 43.02.11 «Гостиничный сервис» (протокол № 9 от 28.09.2020)</t>
  </si>
  <si>
    <t>673145.04.01</t>
  </si>
  <si>
    <t>Немецкий язык: Уч. / И.Б.Акиншина - М.:НИЦ ИНФРА-М,2023 - 247 с.-(ВО: Бакалавриат)(П)</t>
  </si>
  <si>
    <t>НЕМЕЦКИЙ ЯЗЫК</t>
  </si>
  <si>
    <t>978-5-16-013841-1</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</si>
  <si>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на неязыковых факультетах (протокол № 12 от 26.06.2019)</t>
  </si>
  <si>
    <t>745693.03.01</t>
  </si>
  <si>
    <t>Немецкий язык: Уч. / И.Б.Акиншина - М.:НИЦ ИНФРА-М,2023 - 247 с.-(ВО: Специалитет)(П)</t>
  </si>
  <si>
    <t>978-5-16-016544-8</t>
  </si>
  <si>
    <t>00.05.02, 40.05.01, 40.05.02, 40.05.03, 40.05.04</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</si>
  <si>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программам специалитета (протокол № 8 от 22.06.2020)</t>
  </si>
  <si>
    <t>732047.04.01</t>
  </si>
  <si>
    <t>Немецкий язык: Уч. / И.Б.Акиншина - М.:НИЦ ИНФРА-М,2024 - 247 с.-(СПО)(П)</t>
  </si>
  <si>
    <t>978-5-16-015998-0</t>
  </si>
  <si>
    <t>00.02.02</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</si>
  <si>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(протокол № 15 от 14.10.2019)</t>
  </si>
  <si>
    <t>778744.01.01</t>
  </si>
  <si>
    <t>Нефтегазовая терминология: опыт лингвист. описания: Моногр. / М.Р.Милуд-М.:НИЦ ИНФРА-М,2023.-141 с.(О)</t>
  </si>
  <si>
    <t>НЕФТЕГАЗОВАЯ ТЕРМИНОЛОГИЯ: ОПЫТ ЛИНГВИСТИЧЕСКОГО ОПИСАНИЯ</t>
  </si>
  <si>
    <t>978-5-16-017882-0</t>
  </si>
  <si>
    <t>434093.0019.01</t>
  </si>
  <si>
    <t>НИР. Современная коммуникативистика, 2017, вып. № 3 (28)</t>
  </si>
  <si>
    <t>НИР. СОВРЕМЕННАЯ КОММУНИКАТИВИСТИКА, 2017, № 3 (28)</t>
  </si>
  <si>
    <t>Журнал</t>
  </si>
  <si>
    <t>400700.07.01</t>
  </si>
  <si>
    <t>Новейшая ист. Великобритании: XX - нач. XXI в.: Уч.пос./ Г.С.Остапенко-М.:Вуз. уч., НИЦ ИНФРА-М,2023-472 с.(П)</t>
  </si>
  <si>
    <t>НОВЕЙШАЯ ИСТОРИЯ ВЕЛИКОБРИТАНИИ: XX - НАЧАЛО XXI ВЕКА</t>
  </si>
  <si>
    <t>Остапенко Г. С., Прокопов А. Ю.</t>
  </si>
  <si>
    <t>978-5-9558-0244-2</t>
  </si>
  <si>
    <t>46.03.01</t>
  </si>
  <si>
    <t>Допущено Учебно-методическим объединением по классическому университетскому образованию в качестве учебного пособия для студентов высших учебных заведений, обучающихся по направлению подготовки «История»</t>
  </si>
  <si>
    <t>Российская академия наук</t>
  </si>
  <si>
    <t>680927.04.01</t>
  </si>
  <si>
    <t>Новейшая полит. история: «Кавказский геополит.узел»:Уч.пос./Карабущенко П.Л-М.:НИЦ ИНФРА-М,2023-489с</t>
  </si>
  <si>
    <t>НОВЕЙШАЯ ПОЛИТИЧЕСКАЯ ИСТОРИЯ: «КАВКАЗСКИЙ ГЕОПОЛИТИЧЕСКИЙ УЗЕЛ» (1991-2011 ГОДЫ)</t>
  </si>
  <si>
    <t>Вартумян А.А., Карабущенко П.Л., Косов Г.В. и др.</t>
  </si>
  <si>
    <t>978-5-16-014166-4</t>
  </si>
  <si>
    <t>Рекомендовано Учебно-методическим советом ВО в качестве учебного пособия для студентов высших учебных заведений, обучающихся по направлениям подготовки 46.03.01 «История», 41.03.04 «Политология», 41.03.05 «Международные отношения» (квалификация (степень) «бакалавр»)</t>
  </si>
  <si>
    <t>Северо-Кавказский федеральный университет, ф-л в г. Пятигорске</t>
  </si>
  <si>
    <t>680928.03.01</t>
  </si>
  <si>
    <t>Новейшая политическая история...: Уч.пос. / Под ред. Карабущенко П.Л. - М.:НИЦ ИНФРА-М,2023-358с(П)</t>
  </si>
  <si>
    <t>НОВЕЙШАЯ ПОЛИТИЧЕСКАЯ ИСТОРИЯ: ПРИКАСПИЙСКАЯ «ГЕОПОЛИТИЧЕСКАЯ ОСЬ» (1991-2011 ГОДЫ)</t>
  </si>
  <si>
    <t>Вартумян А.А., Джанталеева М.Ш., Дмитриев А.В. и др.</t>
  </si>
  <si>
    <t>978-5-16-014263-0</t>
  </si>
  <si>
    <t>41.03.02, 41.03.04, 41.03.05, 41.03.06, 46.03.01</t>
  </si>
  <si>
    <t>Рекомендовано Учебно-методическим советом ВО в качестве учебного пособия для студентов высших учебных заведений, обучающихся по направлениям подготовки 41.03.04 «Политология», 41.03.05 «Международные отношения», 46.03.01 «История» (квалификация (степень) «бакалавр»)</t>
  </si>
  <si>
    <t>680428.01.01</t>
  </si>
  <si>
    <t>Новейшая политическая история: Великая азиатская...: Уч.пос. / А.В.Баранов-М.:НИЦ ИНФРА-М,2024.-502 с.(ВО)(п)</t>
  </si>
  <si>
    <t>НОВЕЙШАЯ ПОЛИТИЧЕСКАЯ ИСТОРИЯ: ВЕЛИКАЯ АЗИАТСКАЯ «ДУГА НАПРЯЖЕННОСТИ» (1991-2011)</t>
  </si>
  <si>
    <t>Баранов А.В., Будовская О.В., Вартумян А.А. и др.</t>
  </si>
  <si>
    <t>978-5-16-014674-4</t>
  </si>
  <si>
    <t>393300.04.01</t>
  </si>
  <si>
    <t>Новейшие тенденции и напр. совр.политол.: Уч.пос. / Р.Ф.Матвеев - М.:Форум,НИЦ ИНФРА-М,2022-336с(ВО:Магистр.)(О)</t>
  </si>
  <si>
    <t>НОВЕЙШИЕ ТЕНДЕНЦИИ И НАПРАВЛЕНИЯ СОВРЕМЕННОЙ ПОЛИТОЛОГИИ</t>
  </si>
  <si>
    <t>Р.Ф.Матвеев</t>
  </si>
  <si>
    <t>978-5-00091-113-6</t>
  </si>
  <si>
    <t>41.03.04, 41.03.05, 41.03.06, 41.04.04, 41.04.05</t>
  </si>
  <si>
    <t>Учебное пособие для магистрантов и аспирантов высших учебных заведений, обучающихся по специальности 23.00.02 «Политические институты, процессы и технологии»</t>
  </si>
  <si>
    <t>645793.01.01</t>
  </si>
  <si>
    <t>Новые вызовы и механизмы безопасн. в Восточ.Азии / В.М.Мазырин-М.:ИД ФОРУМ,НИЦ ИНФРА-М,2016-440с.(О)</t>
  </si>
  <si>
    <t>НОВЫЕ ВЫЗОВЫ И МЕХАНИЗМЫ БЕЗОПАСНОСТИ В ВОСТОЧНОЙ АЗИИ</t>
  </si>
  <si>
    <t>Мазырин В.М., Кобелев Е.В., Локшин Г.М.</t>
  </si>
  <si>
    <t>978-5-8199-0675-0</t>
  </si>
  <si>
    <t>Сборник научных трудов</t>
  </si>
  <si>
    <t>375800.04.01</t>
  </si>
  <si>
    <t>Новые реалии развития редакций...: Моногр./ Е.А.Баранова-М.:Вуз. уч., НИЦ ИНФРА-М,2022-187 с.(Науч. книга)(П)</t>
  </si>
  <si>
    <t>НОВЫЕ РЕАЛИИ РАЗВИТИЯ РЕДАКЦИЙ, ИЛИ ЧТО ТАКОЕ ГАЗЕТНАЯ КОНВЕРГЕНЦИЯ</t>
  </si>
  <si>
    <t>Баранова Е.А.</t>
  </si>
  <si>
    <t>978-5-9558-0449-1</t>
  </si>
  <si>
    <t>42.04.02, 45.04.01</t>
  </si>
  <si>
    <t>808000.01.01</t>
  </si>
  <si>
    <t>Нормативные измер. христианских канонов...: Моногр. / А.А.Сычев-М.:НИЦ ИНФРА-М,2024.-192 с.(Науч.мысль)(о)</t>
  </si>
  <si>
    <t>НОРМАТИВНЫЕ ИЗМЕРЕНИЯ ХРИСТИАНСКИХ КАНОНОВ: ТРАДИЦИИ И ДИНАМИКА</t>
  </si>
  <si>
    <t>Сычев А.А., Коваль Е.А., Жадунова Н.В.</t>
  </si>
  <si>
    <t>978-5-16-018876-8</t>
  </si>
  <si>
    <t>48.03.01, 48.04.01, 48.06.01</t>
  </si>
  <si>
    <t>778856.01.01</t>
  </si>
  <si>
    <t>О потенциале увеличения явки избирателей в Рос. и за рубежом/ Е.П.Мармилова-М.:НИЦ ИНФРА-М,2022.-191 с.(О)</t>
  </si>
  <si>
    <t>О ПОТЕНЦИАЛЕ УВЕЛИЧЕНИЯ ЯВКИ ИЗБИРАТЕЛЕЙ В РОССИИ И ЗА РУБЕЖОМ</t>
  </si>
  <si>
    <t>Мармилова Е.П., Кудряшова Е.В., Каширская Л.В. и др.</t>
  </si>
  <si>
    <t>978-5-16-017809-7</t>
  </si>
  <si>
    <t>40.05.01, 40.05.04, 41.04.04</t>
  </si>
  <si>
    <t>Национальный исследовательский университет "Высшая школа экономики", ф-л Санкт-Петербург</t>
  </si>
  <si>
    <t>166400.12.01</t>
  </si>
  <si>
    <t>Обеспечение автоматиз. библ. информ.систем (АБИС): Уч. пос. /Л.И.Алешин - М.:Форум, ИНФРА-М,2024 - 432 с.(ВО) (п)</t>
  </si>
  <si>
    <t>ОБЕСПЕЧЕНИЕ АВТОМАТИЗИРОВАННЫХ БИБЛИОТЕЧНЫХ ИНФОРМАЦИОННЫХ СИСТЕМ (АБИС)</t>
  </si>
  <si>
    <t>978-5-91134-568-6</t>
  </si>
  <si>
    <t>786186.02.01</t>
  </si>
  <si>
    <t>Образ США в советской прессе периода «оттепели» (1956-1964) / И.Н.Лопаткин-М.:НИЦ ИНФРА-М,2024.-202 с.(о)</t>
  </si>
  <si>
    <t>ОБРАЗ США В СОВЕТСКОЙ ПРЕССЕ ПЕРИОДА «ОТТЕПЕЛИ» (1956-1964)</t>
  </si>
  <si>
    <t>Лопаткин И.Н., Хисамутдинова Р.Р.</t>
  </si>
  <si>
    <t>978-5-16-017938-4</t>
  </si>
  <si>
    <t>41.04.05, 41.06.01, 42.06.01, 46.04.01, 46.06.01</t>
  </si>
  <si>
    <t>Оренбургское президентское кадетское училище</t>
  </si>
  <si>
    <t>775776.01.01</t>
  </si>
  <si>
    <t>Обретение книги: Марсель Пруст...: Моногр. / А.Н.Таганов-М.:НИЦ ИНФРА-М,2022.-271 с.(Науч.мысль)(О)</t>
  </si>
  <si>
    <t>ОБРЕТЕНИЕ КНИГИ: МАРСЕЛЬ ПРУСТ В ПОИСКАХ УТРАЧЕННОГО ВРЕМЕНИ</t>
  </si>
  <si>
    <t>Таганов А.Н.</t>
  </si>
  <si>
    <t>978-5-16-017625-3</t>
  </si>
  <si>
    <t>44.03.05, 45.04.01, 45.06.01</t>
  </si>
  <si>
    <t>Ивановский государственный университет</t>
  </si>
  <si>
    <t>644458.06.01</t>
  </si>
  <si>
    <t>Общая геополитика. Вопросы теории...: Моногр. / А.Б.Елацков - М.:НИЦ ИНФРА-М,2022 - 251 с.(Науч.мысль)(О)</t>
  </si>
  <si>
    <t>ОБЩАЯ ГЕОПОЛИТИКА. ВОПРОСЫ ТЕОРИИ И МЕТОДОЛОГИИ В ГЕОГРАФИЧЕСКОЙ ИНТЕРПРЕТАЦИИ</t>
  </si>
  <si>
    <t>Елацков А.Б.</t>
  </si>
  <si>
    <t>978-5-16-017478-5</t>
  </si>
  <si>
    <t>41.03.04, 41.03.06, 41.04.04</t>
  </si>
  <si>
    <t>021521.15.01</t>
  </si>
  <si>
    <t>Общая и социальная психология: Уч. / М.И. Еникеев. - 2 изд. - М.: Норма:  НИЦ ИНФРА-М, 2023 - 640 с. (п)</t>
  </si>
  <si>
    <t>ОБЩАЯ И СОЦИАЛЬНАЯ ПСИХОЛОГИЯ, ИЗД.2</t>
  </si>
  <si>
    <t>Еникеев М. И.</t>
  </si>
  <si>
    <t>978-5-91768-086-6</t>
  </si>
  <si>
    <t>11.02.15, 39.03.01, 39.03.02, 39.03.03, 40.03.01, 40.05.01, 40.05.02, 40.05.03</t>
  </si>
  <si>
    <t>Допущено Министерством образования и науки РФ в качестве учебника для студентов высших учебных заведений, обучающихся по специальности "Юриспруденция"</t>
  </si>
  <si>
    <t>429500.14.01</t>
  </si>
  <si>
    <t>Общая психокоррекция: Уч.пос. / Б.Р.Мандель - М.:Вуз.уч.,НИЦ ИНФРА-М,2024 - 349 с.(П)</t>
  </si>
  <si>
    <t>ОБЩАЯ ПСИХОКОРРЕКЦИЯ</t>
  </si>
  <si>
    <t>978-5-9558-0290-9</t>
  </si>
  <si>
    <t>31.05.01, 31.05.02, 31.08.20, 31.08.22, 32.04.01, 34.03.01, 37.03.01, 37.03.02, 37.05.01, 44.03.01, 44.03.02</t>
  </si>
  <si>
    <t>374700.03.01</t>
  </si>
  <si>
    <t>Общая психология в схемах и коммент.: Уч.пос. / В.Г.Крысько - 7 изд.-М.:Вуз.уч,НИЦ ИНФРА-М,2019-196с</t>
  </si>
  <si>
    <t>ОБЩАЯ ПСИХОЛОГИЯ В СХЕМАХ И КОММЕНТАРИЯХ, ИЗД.7</t>
  </si>
  <si>
    <t>Крысько В.Г.</t>
  </si>
  <si>
    <t>978-5-9558-0446-0</t>
  </si>
  <si>
    <t>00.03.15, 00.05.15, 37.03.01, 37.03.02, 37.05.01, 37.05.02</t>
  </si>
  <si>
    <t>0716</t>
  </si>
  <si>
    <t>374700.09.01</t>
  </si>
  <si>
    <t>Общая психология в схемах и коммент.: Уч.пос. / В.Г.Крысько - 8 изд. - М.:НИЦ ИНФРА-М,2024-196с(ВО)(п)</t>
  </si>
  <si>
    <t>ОБЩАЯ ПСИХОЛОГИЯ В СХЕМАХ И КОММЕНТАРИЯХ, ИЗД.8</t>
  </si>
  <si>
    <t>978-5-16-019559-9</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</si>
  <si>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высшего образования (протокол № 2 от 28.01.2019)</t>
  </si>
  <si>
    <t>0819</t>
  </si>
  <si>
    <t>711274.05.01</t>
  </si>
  <si>
    <t>Общая психология в схемах и комментариях: Уч.пос. / В.Г.Крысько, - 8 изд.,-М.:НИЦ ИНФРА-М,2024.-196 с.(СПО)(П)</t>
  </si>
  <si>
    <t>978-5-16-015329-2</t>
  </si>
  <si>
    <t>31.02.01, 31.02.02, 32.02.01, 33.02.01, 34.02.01, 34.02.02, 39.02.01, 44.02.01, 44.02.02, 44.02.03, 44.02.04, 44.02.05, 44.02.06, 49.02.01, 49.02.02</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</si>
  <si>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гуманитарным специальностям (протокол № 5 от 11.03.2019)</t>
  </si>
  <si>
    <t>657342.03.01</t>
  </si>
  <si>
    <t>Общая психология. Практикум:Уч.пос. / Е.Е.Сапогова, - 2 изд.-М.:НИЦ ИНФРА-М,2023.-625 с..-(ВО)(П)</t>
  </si>
  <si>
    <t>ОБЩАЯ ПСИХОЛОГИЯ. ПРАКТИКУМ, ИЗД.2</t>
  </si>
  <si>
    <t>978-5-16-018642-9</t>
  </si>
  <si>
    <t>37.03.01, 37.05.01, 37.05.02, 44.03.01, 44.03.02, 44.03.03, 44.03.04, 44.03.05, 44.05.01</t>
  </si>
  <si>
    <t>Допущено Министерством образования Российской Федерации в качестве учебного пособия для студентов высших учебных заведений, обучающихся по направлению и специальностям «Психология»</t>
  </si>
  <si>
    <t>665055.06.01</t>
  </si>
  <si>
    <t>Общая психология: Уч.пос. / Г.С.Абрамова - 2 изд., стереотип. - М.:НИЦ ИНФРА-М,2018 - 496 с.(ВО)(П)</t>
  </si>
  <si>
    <t>ОБЩАЯ ПСИХОЛОГИЯ, ИЗД.2</t>
  </si>
  <si>
    <t>Абрамова Г.С.</t>
  </si>
  <si>
    <t>978-5-16-013592-2</t>
  </si>
  <si>
    <t>37.03.01, 37.04.01, 37.05.01, 44.03.04, 44.03.05</t>
  </si>
  <si>
    <t>Рекомендовано в качестве учебного пособия для студентов высших учебных заведений, обучающихся по направлениям подготовки 37.03.01 «Психология», 37.03.02 «Конфликтология», 44.03.02 «Психолого-педагогическое образование» (квалификация (степень) «бакалавр»)</t>
  </si>
  <si>
    <t>424750.07.01</t>
  </si>
  <si>
    <t>Общая социология: Уч. пос. / К.М. Оганян. - 4 изд. - М.: НИЦ ИНФРА-М, 2024. - 236 с.(ВО)(п)</t>
  </si>
  <si>
    <t>ОБЩАЯ СОЦИОЛОГИЯ, ИЗД.4</t>
  </si>
  <si>
    <t>Оганян К. М.</t>
  </si>
  <si>
    <t>978-5-16-019666-4</t>
  </si>
  <si>
    <t>00.03.10, 00.05.10, 39.03.01, 39.03.02, 39.03.03</t>
  </si>
  <si>
    <t>Рекомендовано Учебно-методическим объединением вузов по классическому университетскому образованию в качестве учебного пособия для студентов высших учебных заведений, обучающихся по направлению «Социология»</t>
  </si>
  <si>
    <t>026220.18.01</t>
  </si>
  <si>
    <t>Общая социология: Уч.пос. / Под общ. ред. А.Г.Эфендиева и др.-М.:НИЦ ИНФРА-М,2023-654с(ВО)(П)</t>
  </si>
  <si>
    <t>ОБЩАЯ СОЦИОЛОГИЯ</t>
  </si>
  <si>
    <t>Эфендиев А.Г., Эфендиев А.Г., Кравченко Е.И. и др.</t>
  </si>
  <si>
    <t>978-5-16-018365-7</t>
  </si>
  <si>
    <t>00.03.10, 00.05.10</t>
  </si>
  <si>
    <t>Рекомендовано Министерством образовании и науки Российской Федерации в качестве учебного пособия для студентов высших учебных заведений</t>
  </si>
  <si>
    <t>0100</t>
  </si>
  <si>
    <t>728383.02.01</t>
  </si>
  <si>
    <t>Общественное мнение в США в преддверии...: Моногр. / Т.В.Алентьева-М.:НИЦ ИНФРА-М,2022.-357 с.(Науч.мысль)(О)</t>
  </si>
  <si>
    <t>ОБЩЕСТВЕННОЕ МНЕНИЕ В США В ПРЕДДВЕРИИ ГРАЖДАНСКОЙ ВОЙНЫ (1850-1861 ГГ.)</t>
  </si>
  <si>
    <t>978-5-16-015911-9</t>
  </si>
  <si>
    <t>741862.03.01</t>
  </si>
  <si>
    <t>Общественное мнение в управ. соц. процессами: Моногр. / Е.Г.Бунов-М.:НИЦ ИНФРА-М,2023.-166 с.(Науч.мысль)(О)</t>
  </si>
  <si>
    <t>ОБЩЕСТВЕННОЕ МНЕНИЕ В УПРАВЛЕНИИ СОЦИАЛЬНЫМИ ПРОЦЕССАМИ</t>
  </si>
  <si>
    <t>Бунов Е.Г., Тихонова Е.В.</t>
  </si>
  <si>
    <t>978-5-16-017738-0</t>
  </si>
  <si>
    <t>735885.03.01</t>
  </si>
  <si>
    <t>Общественный и идентификац. статус коммуникатив.: Моногр. / О.Я.Гойхман.-М.:НИЦ ИНФРА-М,2024.-198 с.(О)</t>
  </si>
  <si>
    <t>ОБЩЕСТВЕННЫЙ И ИДЕНТИФИКАЦИОННЫЙ СТАТУС КОММУНИКАТИВИСТИКИ</t>
  </si>
  <si>
    <t>Гойхман О.Я., Гончарова Л.М., Дмитриева С.Ю. и др.</t>
  </si>
  <si>
    <t>978-5-16-016358-1</t>
  </si>
  <si>
    <t>37.04.01, 37.04.02, 37.05.01, 37.05.02, 37.06.01, 38.04.01, 38.04.02, 38.04.03, 38.04.04, 38.06.01, 41.04.05, 41.06.01, 42.04.01, 42.04.02, 42.04.03, 42.04.04, 42.04.05, 42.06.01</t>
  </si>
  <si>
    <t>741367.02.01</t>
  </si>
  <si>
    <t>Общество во власти медиапроцессов: Моногр. / А.А.Ефанов-М.:НИЦ ИНФРА-М,2024.-189 с.(Науч.мысль)(о)</t>
  </si>
  <si>
    <t>ОБЩЕСТВО ВО ВЛАСТИ МЕДИАПРОЦЕССОВ</t>
  </si>
  <si>
    <t>Ефанов А.А.</t>
  </si>
  <si>
    <t>978-5-16-019415-8</t>
  </si>
  <si>
    <t>39.04.01, 39.06.01, 41.04.04, 41.06.01, 42.04.02, 42.04.05, 42.06.01</t>
  </si>
  <si>
    <t>374300.04.01</t>
  </si>
  <si>
    <t>Общество и государство: Монография / В.В.Афанасьев-М.:НИЦ ИНФРА-М,2023.-175 с..-(Научная мысль)(П)</t>
  </si>
  <si>
    <t>ОБЩЕСТВО И ГОСУДАРСТВО</t>
  </si>
  <si>
    <t>978-5-16-011062-2</t>
  </si>
  <si>
    <t>40.03.01, 41.03.04, 41.06.01, 44.03.01, 44.03.05</t>
  </si>
  <si>
    <t>642886.08.01</t>
  </si>
  <si>
    <t>Обществознание: Уч. / В.В.Ковригин - М.:НИЦ ИНФРА-М,2024 - 303 с.-(СПО)(п)</t>
  </si>
  <si>
    <t>ОБЩЕСТВОЗНАНИЕ</t>
  </si>
  <si>
    <t>Ковригин В.В.</t>
  </si>
  <si>
    <t>978-5-16-012362-2</t>
  </si>
  <si>
    <t>00.02.21, 31.02.01, 31.02.02, 31.02.06, 33.02.01, 34.02.01</t>
  </si>
  <si>
    <t>Рекомендовано в качестве учебника для учебных заведений, реализующих основную профессиональную образовательную программу среднего профессионального образования на базе основного общего образования</t>
  </si>
  <si>
    <t>113500.15.01</t>
  </si>
  <si>
    <t>Обществознание: Уч. / В.О.Мушинский - М.:Форум, НИЦ ИНФРА-М,2018 - 320 с.-(СПО)(П)</t>
  </si>
  <si>
    <t>Мушинский В.О.</t>
  </si>
  <si>
    <t>978-5-00091-459-5</t>
  </si>
  <si>
    <t>00.02.21</t>
  </si>
  <si>
    <t>Рекомендовано Учебно-методическим советом Учебно-методического центра по профессиональному образованию Департамента образования города Москвы в качестве учебного пособия для студентов образовательных учреждений среднего профессионального образования</t>
  </si>
  <si>
    <t>369400.05.01</t>
  </si>
  <si>
    <t>Общие основания религий: Монография / С.Ю.Поройков - М.:НИЦ ИНФРА-М,2022 - 313 с.-(Науч.мысль)(О)</t>
  </si>
  <si>
    <t>ОБЩИЕ ОСНОВАНИЯ РЕЛИГИЙ</t>
  </si>
  <si>
    <t>Поройков С.Ю.</t>
  </si>
  <si>
    <t>978-5-16-011007-3</t>
  </si>
  <si>
    <t>44.03.05, 47.06.01</t>
  </si>
  <si>
    <t>660119.03.01</t>
  </si>
  <si>
    <t>Окказионализмы - признак.слова в идиолекте Н.С. Лескова: Моногр. / О.А.Головачева-М.:НИЦ ИНФРА-М,2019-130с</t>
  </si>
  <si>
    <t>ОККАЗИОНАЛИЗМЫ - ПРИЗНАКОВЫЕ СЛОВА В ИДИОЛЕКТЕ Н.С. ЛЕСКОВА</t>
  </si>
  <si>
    <t>Головачева О.А.</t>
  </si>
  <si>
    <t>978-5-16-013088-0</t>
  </si>
  <si>
    <t>Брянский государственный университет им. академика И.Г. Петровского</t>
  </si>
  <si>
    <t>809456.01.01</t>
  </si>
  <si>
    <t>Ономастика международных отношений: Моногр. / Л.О.Терновая-М.:НИЦ ИНФРА-М,2024.-349 с.(Науч.мысль)(п)</t>
  </si>
  <si>
    <t>ОНОМАСТИКА МЕЖДУНАРОДНЫХ ОТНОШЕНИЙ</t>
  </si>
  <si>
    <t>978-5-16-018901-7</t>
  </si>
  <si>
    <t>41.03.01, 41.03.04, 41.03.05, 41.04.04, 41.04.05, 41.06.01, 51.03.01</t>
  </si>
  <si>
    <t>Август, 2023</t>
  </si>
  <si>
    <t>777227.01.01</t>
  </si>
  <si>
    <t>Ономастическое пространство памятников письм. Киев. Руси: Моногр./Е.Н.Соколова-М.:НИЦ ИНФРА-М,2022-274с.(О)</t>
  </si>
  <si>
    <t>ОНОМАСТИЧЕСКОЕ ПРОСТРАНСТВО ПАМЯТНИКОВ ПИСЬМЕННОСТИ КИЕВСКОЙ РУСИ</t>
  </si>
  <si>
    <t>Соколова Е.Н.</t>
  </si>
  <si>
    <t>978-5-16-017711-3</t>
  </si>
  <si>
    <t>45.04.03, 51.04.03</t>
  </si>
  <si>
    <t>Тюменский государственный университет</t>
  </si>
  <si>
    <t>817381.01.01</t>
  </si>
  <si>
    <t>Онтология цифры: Монография / С.В.Григоришин и др.-М.:НИЦ ИНФРА-М,2024.-141 с..-(Науч.мысль)(о)</t>
  </si>
  <si>
    <t>ОНТОЛОГИЯ ЦИФРЫ</t>
  </si>
  <si>
    <t>Григоришин С.В., Петров А.М., Попов А.Н.</t>
  </si>
  <si>
    <t>978-5-16-019402-8</t>
  </si>
  <si>
    <t>236200.07.01</t>
  </si>
  <si>
    <t>Оптимизация личностных преимуществ: психолог. возмож.: Практ./В.В.Авдеев - КУРС:ИНФРА-М, 2022-208с. (о)</t>
  </si>
  <si>
    <t>ОПТИМИЗАЦИЯ ЛИЧНОСТНЫХ ПРЕИМУЩЕСТВ: ПСИХОЛОГИЧЕСКИЕ ВОЗМОЖНОСТИ</t>
  </si>
  <si>
    <t>Авдеев В. В.</t>
  </si>
  <si>
    <t>978-5-905554-39-1</t>
  </si>
  <si>
    <t>37.03.01, 38.03.01, 38.03.02, 38.03.03, 38.03.04, 39.03.01, 39.03.02</t>
  </si>
  <si>
    <t>104550.12.01</t>
  </si>
  <si>
    <t>Организационная конфликтология: Уч. пос. / К.В. Решетникова. - М.: ИНФРА-М, 2024. - 175 с. (ВО) (п)</t>
  </si>
  <si>
    <t>ОРГАНИЗАЦИОННАЯ КОНФЛИКТОЛОГИЯ</t>
  </si>
  <si>
    <t>Решетникова К. В.</t>
  </si>
  <si>
    <t>978-5-16-003512-3</t>
  </si>
  <si>
    <t>37.03.02, 38.03.02, 38.03.03, 38.03.04, 39.03.01</t>
  </si>
  <si>
    <t>Рекомендовано Учебно-методическим объединением вузов России по образованию в области экономики, менеджмента, логистики и бизнес-информатики в качестве учебного пособия для студ. вузов, обуч. по напр. подготовки 080500  "Менеджмент"</t>
  </si>
  <si>
    <t>231700.11.01</t>
  </si>
  <si>
    <t>Организационная психология: Уч. / А.Б.Леонова - М.:НИЦ ИНФРА-М,2023 - 429 с.(ВО: Бакалавр.)(П)</t>
  </si>
  <si>
    <t>ОРГАНИЗАЦИОННАЯ ПСИХОЛОГИЯ</t>
  </si>
  <si>
    <t>Леонова А.Б., Базаров Т.Ю., Абдуллаева М.М. и др.</t>
  </si>
  <si>
    <t>978-5-16-006052-1</t>
  </si>
  <si>
    <t>Допущено УМО  по классическому университетскому образованию в качестве учебника для студентов высших учебных заведений, обучающихся по направлению подготовки 37.03.01 «Психология» (квалификация (степень) «бакалавр»)</t>
  </si>
  <si>
    <t>673720.06.01</t>
  </si>
  <si>
    <t>Организационно-метод.подходы к бух. уч...: Моногр./ Е.Н.Песчанникова-М.:НИЦ ИНФРА-М,2024-115с(О)</t>
  </si>
  <si>
    <t>ОРГАНИЗАЦИОННО-МЕТОДИЧЕСКИЕ ПОДХОДЫ К БУХГАЛТЕРСКОМУ УЧЕТУ И КОНТРОЛЮ БИБЛИОТЕЧНО-ИНФОРМАЦИОННОГО РЕСУРСА ОБРАЗОВАТЕЛЬНЫХ ОРГАНИЗАЦИЙ ВЫСШЕГО ОБРАЗОВАНИЯ</t>
  </si>
  <si>
    <t>Песчанникова Е.Н., Рудакова Е.Н.</t>
  </si>
  <si>
    <t>978-5-16-013812-1</t>
  </si>
  <si>
    <t>763784.01.01</t>
  </si>
  <si>
    <t>Организация науч. знания: классификация и теория: Уч.пос. / Под ред. Диева В.С.-М.:НИЦ ИНФРА-М,2024-316 с.(ВО)(п)</t>
  </si>
  <si>
    <t>ОРГАНИЗАЦИЯ НАУЧНОГО ЗНАНИЯ: КЛАССИФИКАЦИЯ И ТЕОРИЯ</t>
  </si>
  <si>
    <t>Зуев В.В., Диев В.С.</t>
  </si>
  <si>
    <t>978-5-16-017203-3</t>
  </si>
  <si>
    <t>00.04.16, 00.05.16</t>
  </si>
  <si>
    <t>645255.03.01</t>
  </si>
  <si>
    <t>Организация работы орг. и учр. соц. защиты населения: Уч. / Под ред. Шайхатдинова В.Ш.-М.:НИЦ ИНФРА-М,2023-346с.(П)</t>
  </si>
  <si>
    <t>ОРГАНИЗАЦИЯ РАБОТЫ ОРГАНОВ И УЧРЕЖДЕНИЙ СОЦИАЛЬНОЙ ЗАЩИТЫ НАСЕЛЕНИЯ</t>
  </si>
  <si>
    <t>Дианова И.В., Митин А.Н., Плешакова И.Н. и др.</t>
  </si>
  <si>
    <t>978-5-16-016501-1</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</si>
  <si>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специальности 40.02.01 «Право и организация социального обеспечения» (протокол № 2 от 17.02.2021)</t>
  </si>
  <si>
    <t>Уральский государственный юридический университет имени В.Ф. Яковлева</t>
  </si>
  <si>
    <t>480650.09.01</t>
  </si>
  <si>
    <t>Организация работы с молодежью: Уч.пос. / Т.Э.Петрова-М.:НИЦ ИНФРА-М,2024 - 208 с.(ВО)(п)</t>
  </si>
  <si>
    <t>ОРГАНИЗАЦИЯ РАБОТЫ С МОЛОДЕЖЬЮ</t>
  </si>
  <si>
    <t>Петрова Т. Э., Петрова И. Э.</t>
  </si>
  <si>
    <t>978-5-16-018889-8</t>
  </si>
  <si>
    <t>38.03.04, 39.03.01, 39.03.02, 39.03.03</t>
  </si>
  <si>
    <t>Рекомендовано УМО Санкт-Петербургского государственного университета в области инновационных междисциплинарных образовательных программ в качестве учебного пособия по направлению «Гуманитарные науки»</t>
  </si>
  <si>
    <t>Департамент культуры при Правительстве РФ</t>
  </si>
  <si>
    <t>669439.07.01</t>
  </si>
  <si>
    <t>Основные философ. направ. и концепции науки: Уч.пос. / В.А.Канке -4изд.-М.:НИЦ ИНФРА-М,2023-266с(П)</t>
  </si>
  <si>
    <t>ОСНОВНЫЕ ФИЛОСОФСКИЕ НАПРАВЛЕНИЯ И КОНЦЕПЦИИ НАУКИ, ИЗД.4</t>
  </si>
  <si>
    <t>978-5-16-013337-9</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</si>
  <si>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47.03.01 «Философия» (квалификация (степень) «бакалавр») (протокол № 3 от 11.02.2019)</t>
  </si>
  <si>
    <t>0419</t>
  </si>
  <si>
    <t>772575.01.01</t>
  </si>
  <si>
    <t>Основы  экосоциогуманизма: Моногр. / В.С.Голубев-М.:НИЦ ИНФРА-М,2022.-158 с.(О)</t>
  </si>
  <si>
    <t>ОСНОВЫ ЭКОСОЦИОГУМАНИЗМА</t>
  </si>
  <si>
    <t>Голубев В.С.</t>
  </si>
  <si>
    <t>978-5-16-017476-1</t>
  </si>
  <si>
    <t>37.03.01, 47.06.01</t>
  </si>
  <si>
    <t>МЕЖДУНАРОДНЫЙ НАУЧНО-ИССЛЕДОВАТЕЛЬСКИЙ ИНСТИТУТ ПРОБЛЕМ УПРАВЛЕНИЯ</t>
  </si>
  <si>
    <t>698348.03.01</t>
  </si>
  <si>
    <t>Основы архитектуры зданий и сооруж.: Уч. / А.З.Абуханов  - 5 изд. - М.:ИЦ РИОР, НИЦ ИНФРА-М,2023-296с(П)</t>
  </si>
  <si>
    <t>ОСНОВЫ АРХИТЕКТУРЫ ЗДАНИЙ И СООРУЖЕНИЙ, ИЗД.5</t>
  </si>
  <si>
    <t>Абуханов А.З., Белоконев Е.Н., Белоконева Т.М. и др.</t>
  </si>
  <si>
    <t>978-5-369-01817-0</t>
  </si>
  <si>
    <t>Грозненский государственный нефтяной технический университет им. академика М.Д. Миллионщикова</t>
  </si>
  <si>
    <t>0519</t>
  </si>
  <si>
    <t>717777.05.01</t>
  </si>
  <si>
    <t>Основы архитектуры зданий и сооружений: Уч. / А.З.Абуханов и др.-М.:ИЦ РИОР,НИЦ ИНФРА-М,2024-296с(П)</t>
  </si>
  <si>
    <t>ОСНОВЫ АРХИТЕКТУРЫ ЗДАНИЙ И СООРУЖЕНИЙ</t>
  </si>
  <si>
    <t>978-5-369-01822-4</t>
  </si>
  <si>
    <t>683005.07.01</t>
  </si>
  <si>
    <t>Основы безоп. жизнед. и охраны труда в хореографии: Уч.пос./ В.Н.Карпенко - М.:НИЦ ИНФРА-М,2024 - 141 с.(СПО) (О)</t>
  </si>
  <si>
    <t>ОСНОВЫ БЕЗОПАСНОСТИ ЖИЗНЕДЕЯТЕЛЬНОСТИ И ОХРАНЫ ТРУДА В ХОРЕОГРАФИИ</t>
  </si>
  <si>
    <t>978-5-16-013984-5</t>
  </si>
  <si>
    <t>52.02.01, 52.02.02, 52.02.03, 52.02.04, 52.02.05</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</si>
  <si>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укрупненной группе специальностей 52.02.00 «Сценические искусства и литературное творчество»</t>
  </si>
  <si>
    <t>650090.05.01</t>
  </si>
  <si>
    <t>Основы безопасности жизнедеят.и охраны труда..: Уч.пос. / В.Н.Карпенко - М.:НИЦ ИНФРА-М,2024-141с(П)</t>
  </si>
  <si>
    <t>978-5-16-012804-7</t>
  </si>
  <si>
    <t>52.03.01, 52.03.02</t>
  </si>
  <si>
    <t>Рекомендовано в качестве учебного пособия для студентов высших учебных заведений, обучающихся по направлениям подготовки 52.03.01 «Хореографическое искусство», 52.03.02 «Хореографическое исполнительство» (квалификация (степень) «бакалавр»)</t>
  </si>
  <si>
    <t>654706.03.01</t>
  </si>
  <si>
    <t>Основы деловой (служеб.) письм. речи в сфере упр.: Уч.пос. /С.Ю.Кабашов-М.:НИЦ ИНФРА-М,2023-163с(ВО)(о)</t>
  </si>
  <si>
    <t>ОСНОВЫ ДЕЛОВОЙ (СЛУЖЕБНОЙ) ПИСЬМЕННОЙ РЕЧИ В СФЕРЕ УПРАВЛЕНИЯ</t>
  </si>
  <si>
    <t>Кабашов С.Ю.</t>
  </si>
  <si>
    <t>978-5-16-018436-4</t>
  </si>
  <si>
    <t>01.05.01, 38.03.02, 38.03.03, 38.04.02, 38.04.08, 40.03.01, 40.04.01</t>
  </si>
  <si>
    <t>Рекомендовано Учебно-методическим советом ВО в качестве учебного пособия для студентов высших учебных заведений, обучающихся по направлениям подготовки 38.03.02 «Менеджмент», 38.03.01 «Экономика», 40.03.01 «Юриспруденция» (квалификация (степень) «бакалавр»)</t>
  </si>
  <si>
    <t>Башкирская академия государственной службы и управления при Главе Республики Башкортостан</t>
  </si>
  <si>
    <t>714257.04.01</t>
  </si>
  <si>
    <t>Основы деловой (служеб.) письм. речи в сфере управ.: Уч.пос./С.Ю.Кабашов-М.:НИЦ ИНФРА-М,2024-163с(П)</t>
  </si>
  <si>
    <t>978-5-16-015439-8</t>
  </si>
  <si>
    <t>38.02.01, 38.02.02, 38.02.03, 38.02.06, 38.02.07, 38.02.08, 39.02.01, 39.02.02, 40.02.02, 40.02.04, 43.02.01, 43.02.11, 43.02.16, 46.02.01</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</si>
  <si>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укрупненным группам специальностей 38.02.00 «Экономика и управление», 40.02.00 «Юриспруденция» (протокол № 8 от 29.04.2019)</t>
  </si>
  <si>
    <t>079440.11.01</t>
  </si>
  <si>
    <t>Основы конфликтологии: Уч. / Г.И.Козырев, - 2 изд.-М.:ИД Форум, НИЦ ИНФРА-М,2024.-240 с..-(СПО)(П)</t>
  </si>
  <si>
    <t>ОСНОВЫ КОНФЛИКТОЛОГИИ, ИЗД.2</t>
  </si>
  <si>
    <t>Козырев Г. И.</t>
  </si>
  <si>
    <t>978-5-8199-0925-6</t>
  </si>
  <si>
    <t>38.00.00, 44.00.00, 00.02.38, 39.01.01, 39.02.01, 51.02.02</t>
  </si>
  <si>
    <t>723224.03.01</t>
  </si>
  <si>
    <t>Основы латинского языка с мед. терминологией: Уч.пос. / О.Г.Купцова - М.:НИЦ ИНФРА-М,2024-281 с(СПО)(П)</t>
  </si>
  <si>
    <t>ОСНОВЫ ЛАТИНСКОГО ЯЗЫКА С МЕДИЦИНСКОЙ ТЕРМИНОЛОГИЕЙ</t>
  </si>
  <si>
    <t>Купцова О.Г.</t>
  </si>
  <si>
    <t>978-5-16-015823-5</t>
  </si>
  <si>
    <t>31.01.01</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</si>
  <si>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31.02.00 «Клиническая медицина» (протокол № 9 от 28.09.2020)</t>
  </si>
  <si>
    <t>Марийский государственный университет</t>
  </si>
  <si>
    <t>006543.24.01</t>
  </si>
  <si>
    <t>Основы логики: Уч. / В.А.Бочаров - М.:ИД ФОРУМ, НИЦ ИНФРА-М,2024-334с.(Клас.унив.уч.)(П)</t>
  </si>
  <si>
    <t>ОСНОВЫ ЛОГИКИ</t>
  </si>
  <si>
    <t>Бочаров В.А., Маркин В.И.</t>
  </si>
  <si>
    <t>978-5-8199-0169-4</t>
  </si>
  <si>
    <t>03.04.03, 05.03.04, 40.02.02, 40.03.01, 45.03.02, 46.03.02, 47.03.01, 47.03.02, 49.04.01, 49.04.02, 49.04.03, 50.03.01</t>
  </si>
  <si>
    <t>Рекомендован советом по философии, политологии и религиоведению УМО по классическому университетскому образованию в качестве учебника для студентов высших учебных заведений, обучающихся по гуманитарным и естественнонаучным специальностям</t>
  </si>
  <si>
    <t>0197</t>
  </si>
  <si>
    <t>465500.03.01</t>
  </si>
  <si>
    <t>Основы мастерства публич. выступлений...: Практ. рек. / Г.С.Обухова -М:Форум,НИЦ ИНФРА-М,2019-72с(о)</t>
  </si>
  <si>
    <t>ОСНОВЫ МАСТЕРСТВА ПУБЛИЧНЫХ ВЫСТУПЛЕНИЙ, ИЛИ КАК НАУЧИТЬСЯ ВЛАДЕТЬ ЛЮБОЙ АУДИТОРИЕЙ</t>
  </si>
  <si>
    <t>Обухова Г.С., Климова Г.Л.</t>
  </si>
  <si>
    <t>978-5-00091-633-9</t>
  </si>
  <si>
    <t>38.03.01, 38.03.02, 38.03.03, 38.03.04, 38.03.05, 38.03.06, 38.03.07, 38.04.01, 38.04.02, 38.04.03, 38.04.04, 38.04.05, 38.04.06, 41.03.06, 42.03.01, 42.03.02, 42.04.01, 45.03.01, 45.04.01, 51.03.06</t>
  </si>
  <si>
    <t>465500.07.01</t>
  </si>
  <si>
    <t>Основы мастерства публичного общения...: Уч.пос. / Г.С.Обухова, - 2 изд.-М.:НИЦ ИНФРА-М,2024.-99 с.(ВО)(О)</t>
  </si>
  <si>
    <t>ОСНОВЫ МАСТЕРСТВА ПУБЛИЧНОГО ОБЩЕНИЯ: ПРАКТИЧЕСКИЕ РЕКОМЕНДАЦИИ, ИЗД.2</t>
  </si>
  <si>
    <t>978-5-16-019961-0</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</si>
  <si>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основным образовательным программам высшего образования по направлениям подготовки бакалавриата (протокол № 2 от 17.02.2021)</t>
  </si>
  <si>
    <t>101400.11.01</t>
  </si>
  <si>
    <t>Основы методики социологич. исслед.: Уч. пос. / Е.П. Тавокин. - М.:ИНФРА-М, 2024. - 239 с. (п)</t>
  </si>
  <si>
    <t>ОСНОВЫ МЕТОДИКИ СОЦИОЛОГИЧЕСКОГО ИССЛЕДОВАНИЯ</t>
  </si>
  <si>
    <t>Тавокин Е. П.</t>
  </si>
  <si>
    <t>978-5-16-003473-7</t>
  </si>
  <si>
    <t>Рекомендовано Учебно-методическим объединением по классическому университетскому образованию РФ в качестве учебного пособия для студентов высших учебных заведений, обучающихся по специальности  "Социология"</t>
  </si>
  <si>
    <t>079150.17.01</t>
  </si>
  <si>
    <t>Основы общей психологии: Уч. / Н.С.Ефимова - М.:ИД Форум, НИЦ ИНФРА-М,2023 - 288 с.(СПО)(п)</t>
  </si>
  <si>
    <t>ОСНОВЫ ОБЩЕЙ ПСИХОЛОГИИ</t>
  </si>
  <si>
    <t>Ефимова Н.С.</t>
  </si>
  <si>
    <t>978-5-8199-0702-3</t>
  </si>
  <si>
    <t>37.00.00, 44.00.00, 00.01.04, 00.02.15, 31.02.01</t>
  </si>
  <si>
    <t>766909.01.01</t>
  </si>
  <si>
    <t>Основы онтологии: Уч.пос. / Б.И.Липский-М.:НИЦ ИНФРА-М,2024.- 315 с..(ВО)(п)</t>
  </si>
  <si>
    <t>ОСНОВЫ ОНТОЛОГИИ</t>
  </si>
  <si>
    <t>978-5-16-017555-3</t>
  </si>
  <si>
    <t>46.03.01, 47.03.01, 47.04.01, 51.03.01</t>
  </si>
  <si>
    <t>700114.01.01</t>
  </si>
  <si>
    <t>Основы организации работы с молодежью: Уч.пос. / И.В.Волосков-М.:НИЦ ИНФРА-М,2023.-175 с.(ВО)(п)</t>
  </si>
  <si>
    <t>ОСНОВЫ ОРГАНИЗАЦИИ РАБОТЫ С МОЛОДЕЖЬЮ</t>
  </si>
  <si>
    <t>Волосков И.В.</t>
  </si>
  <si>
    <t>Высшее образование (РЭУ)</t>
  </si>
  <si>
    <t>978-5-16-014982-0</t>
  </si>
  <si>
    <t>38.03.04, 39.03.01, 39.03.03, 39.04.02</t>
  </si>
  <si>
    <t>Национальный гуманитарный институт социального управления</t>
  </si>
  <si>
    <t>657345.06.01</t>
  </si>
  <si>
    <t>Основы патопсихологии: Уч. / А.П.Бизюк - 2 изд. - М.:НИЦ ИНФРА-М,2024 - 660 с.-(ВО)(п)</t>
  </si>
  <si>
    <t>ОСНОВЫ ПАТОПСИХОЛОГИИ, ИЗД.2</t>
  </si>
  <si>
    <t>Бизюк А.П.</t>
  </si>
  <si>
    <t>978-5-16-018602-3</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</si>
  <si>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укрупненным группам специальностей и направлений подготовки 37.03.00 «Психологические науки», 44.03.00 «Образование и педагогические науки» (квалификация (степень) «бакалавр») (протокол № 8 от 22.06.2020)</t>
  </si>
  <si>
    <t>Первый Санкт-Петербургский государственный медицинский университет им. академика И.П.Павлова</t>
  </si>
  <si>
    <t>749782.03.01</t>
  </si>
  <si>
    <t>Основы патопсихологии: Уч. / А.П.Бизюк, - 2 изд.-М.:НИЦ ИНФРА-М,2024.-660 с.(ВО: Специалитет)(П)</t>
  </si>
  <si>
    <t>978-5-16-016701-5</t>
  </si>
  <si>
    <t>31.05.01, 31.06.01, 37.05.01, 37.05.02, 40.05.03, 44.05.01</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</si>
  <si>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укрупненным направлениям подготовки 37.05.00 «Психологические науки» (квалификация (степень) «клинический психолог») (протокол № 8 от 22.06.2020)</t>
  </si>
  <si>
    <t>ПО5</t>
  </si>
  <si>
    <t>689838.04.01</t>
  </si>
  <si>
    <t>Основы прагмалингвистики: Уч. / Г.Г.Матвеева-М.:НИЦ ИНФРА-М,2023.-205 с.(ВО)(п)</t>
  </si>
  <si>
    <t>ОСНОВЫ ПРАГМАЛИНГВИСТИКИ</t>
  </si>
  <si>
    <t>Матвеева Г.Г.</t>
  </si>
  <si>
    <t>978-5-16-018941-3</t>
  </si>
  <si>
    <t>45.03.01, 45.03.02, 45.04.01, 45.04.02</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</si>
  <si>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лингвистическим и филологическим направлениям подготовки (квалификация (степень) «бакалавр») (протокол № 4 от 13.04.2022)</t>
  </si>
  <si>
    <t>738657.02.01</t>
  </si>
  <si>
    <t>Основы прикл. и матем. лингвистики: Уч.пос. / Т.М.Надеина - М.:Юр.Норма, НИЦ ИНФРА-М,2022 - 152 с.(П)</t>
  </si>
  <si>
    <t>ОСНОВЫ ПРИКЛАДНОЙ И МАТЕМАТИЧЕСКОЙ ЛИНГВИСТИКИ</t>
  </si>
  <si>
    <t>Надеина Т.М.</t>
  </si>
  <si>
    <t>978-5-00156-072-2</t>
  </si>
  <si>
    <t>40.03.01, 40.05.01, 40.05.02, 40.05.03</t>
  </si>
  <si>
    <t>208800.11.01</t>
  </si>
  <si>
    <t>Основы профес. межкультурной коммуникации: Уч. / Н.В.Барышников - 2 изд.-М.:НИЦ ИНФРА-М,2024-348 с.(П)</t>
  </si>
  <si>
    <t>ОСНОВЫ ПРОФЕССИОНАЛЬНОЙ МЕЖКУЛЬТУРНОЙ КОММУНИКАЦИИ, ИЗД.2</t>
  </si>
  <si>
    <t>Барышников Н.В.</t>
  </si>
  <si>
    <t>978-5-16-016933-0</t>
  </si>
  <si>
    <t>37.03.01, 37.04.01, 38.03.01, 38.03.02, 38.03.03, 38.04.02, 38.04.03, 41.03.04, 41.03.05, 41.03.06, 41.04.04, 41.04.05, 42.03.01, 42.03.02, 42.04.01, 42.04.02, 45.03.01, 45.03.02, 45.04.01, 45.04.02, 51.03.01, 51.03.02</t>
  </si>
  <si>
    <t>Рекомендовано ФГБОУ ВО «Российский государственный педагогический университет имени А.И. Герцена» в качестве учебника к использованию в образовательных учреждениях, реализующих образовательные программы высшего профессионального образования по направлению подготовки «Лингвистика» (квалификация (степень) «бакалавр»)</t>
  </si>
  <si>
    <t>Пятигорский государственный университет</t>
  </si>
  <si>
    <t>208800.07.01</t>
  </si>
  <si>
    <t>Основы профес. межкультурной коммуникации: Уч. / Н.В.Барышников -М.:Вуз.уч.,НИЦ ИНФРА-М,2021-368с(П)</t>
  </si>
  <si>
    <t>ОСНОВЫ ПРОФЕССИОНАЛЬНОЙ МЕЖКУЛЬТУРНОЙ КОММУНИКАЦИИ</t>
  </si>
  <si>
    <t>Барышников Н. В.</t>
  </si>
  <si>
    <t>978-5-9558-0314-2</t>
  </si>
  <si>
    <t>Рекомендовано ФГВОУ ВПО "Российский государственный педагогический университет им. А.И. Герцена» в качестве учебника к использованию в образовательных учреждениях, реализующих образовательные программы высшего профессионального образования по направл</t>
  </si>
  <si>
    <t>675298.06.01</t>
  </si>
  <si>
    <t>Основы профессиологии: Уч.пос. / Э.Ф.Зеер - 2 изд. - М.:НИЦ ИНФРА-М,2023 - 205 с.(ВО: Магистр.)(П)</t>
  </si>
  <si>
    <t>ОСНОВЫ ПРОФЕССИОЛОГИИ, ИЗД.2</t>
  </si>
  <si>
    <t>Зеер Э.Ф., Сыманюк Э.Э., Зиннатова М.В.</t>
  </si>
  <si>
    <t>978-5-16-017191-3</t>
  </si>
  <si>
    <t>37.04.01, 37.05.01, 44.04.02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</si>
  <si>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педагогическим направлениям подготовки (квалификация (степень) «магистр») (протокол № 6 от 16.06.2021)</t>
  </si>
  <si>
    <t>Российский государственный профессионально-педагогический университет</t>
  </si>
  <si>
    <t>427050.05.01</t>
  </si>
  <si>
    <t>Основы психолог. консультирования: Уч.пос. / О.О.Андронникова - М.:Вуз.уч.,НИЦ ИНФРА-М,2020-414с.(П)</t>
  </si>
  <si>
    <t>ОСНОВЫ ПСИХОЛОГИЧЕСКОГО КОНСУЛЬТИРОВАНИЯ</t>
  </si>
  <si>
    <t>978-5-9558-0255-8</t>
  </si>
  <si>
    <t>31.05.01, 31.05.02, 37.03.01, 37.03.02, 37.04.01, 37.04.02, 37.05.01, 37.05.02, 44.03.02, 44.04.02</t>
  </si>
  <si>
    <t>154550.06.01</t>
  </si>
  <si>
    <t>Основы психологии: Уч.пос. / Э.В.Островский - М.:Вуз.уч., ИНФРА-М Изд.Дом,2017 - 268с.(П)</t>
  </si>
  <si>
    <t>ОСНОВЫ ПСИХОЛОГИИ</t>
  </si>
  <si>
    <t>978-5-9558-0202-2</t>
  </si>
  <si>
    <t>Рекомендовано РФ Научно-методическим советом по заочному экономическому  образованию в качестве учебного пособия для студентов ВУЗ, обучающихся по экономическим специальностям</t>
  </si>
  <si>
    <t>154550.09.01</t>
  </si>
  <si>
    <t>Основы психологии: Уч.пос. / Э.В.Островский, - 2 изд.-М.:Вуз. уч., НИЦ ИНФРА-М,2023.-272 с.(П)</t>
  </si>
  <si>
    <t>ОСНОВЫ ПСИХОЛОГИИ, ИЗД.2</t>
  </si>
  <si>
    <t>978-5-9558-0563-4</t>
  </si>
  <si>
    <t>427050.10.01</t>
  </si>
  <si>
    <t>Основы психологич. консультирования: Уч.пос. / О.О.Андронникова - 2 изд. - М.:НИЦ ИНФРА-М,2024-424 с.(ВО)(П)</t>
  </si>
  <si>
    <t>ОСНОВЫ ПСИХОЛОГИЧЕСКОГО КОНСУЛЬТИРОВАНИЯ, ИЗД.2</t>
  </si>
  <si>
    <t>Андронникова О.О.</t>
  </si>
  <si>
    <t>978-5-16-016032-0</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</si>
  <si>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психологическим направлениям подготовки (квалификация (степень) «магистр») (протокол № 10 от 12.10.2020)</t>
  </si>
  <si>
    <t>719275.04.01</t>
  </si>
  <si>
    <t>Основы психологич. коррекции детей и подростков: Уч.пос. / С.Н.Савинков - М.:НИЦ ИНФРА-М,2024-217 с.(ВО)(п)</t>
  </si>
  <si>
    <t>ОСНОВЫ ПСИХОЛОГИЧЕСКОЙ КОРРЕКЦИИ ДЕТЕЙ И ПОДРОСТКОВ</t>
  </si>
  <si>
    <t>Савинков С.Н., Барышева Е.О., Золотова В.А. и др.</t>
  </si>
  <si>
    <t>978-5-16-019885-9</t>
  </si>
  <si>
    <t>37.03.01, 44.03.02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</si>
  <si>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44.03.02 «Психолого-педагогическое образование» (квалификация (степень) «бакалавр») (протокол № 2 от 17.02.2021)</t>
  </si>
  <si>
    <t>Российская международная академия туризма, Московский ф-л</t>
  </si>
  <si>
    <t>122800.13.01</t>
  </si>
  <si>
    <t>Основы психологической безопасности: Уч.пос. / Н.С.Ефимова - М.:ИД ФОРУМ,НИЦ ИНФРА-М,2023 -192с.(ВО)</t>
  </si>
  <si>
    <t>ОСНОВЫ ПСИХОЛОГИЧЕСКОЙ БЕЗОПАСНОСТИ</t>
  </si>
  <si>
    <t>Ефимова Н. С.</t>
  </si>
  <si>
    <t>978-5-8199-0415-2</t>
  </si>
  <si>
    <t>35.02.12, 37.03.01, 38.02.03, 38.02.07, 44.03.01, 44.03.05, 44.04.01</t>
  </si>
  <si>
    <t>Рекомендовано Ученым Советом гуманитарного факультета РХТУ им Д.И. Менделеева в качестве учебного пособия для студентов вузов, обучающихся по специальности 050104 "Безопасность жизнедеятельности"</t>
  </si>
  <si>
    <t>656350.05.01</t>
  </si>
  <si>
    <t>Основы религиозной культуры и нравственности: Уч. / К.В.Воденко-М.:ИЦ РИОР, НИЦ ИНФРА-М,2024-200с(ВО)</t>
  </si>
  <si>
    <t>ОСНОВЫ РЕЛИГИОЗНОЙ КУЛЬТУРЫ И НРАВСТВЕННОСТИ</t>
  </si>
  <si>
    <t>Воденко К.В., Астапов С.Н., Корякин А.А. и др.</t>
  </si>
  <si>
    <t>978-5-369-01685-5</t>
  </si>
  <si>
    <t>37.03.01, 44.03.05, 47.03.01, 51.03.01</t>
  </si>
  <si>
    <t>382200.05.01</t>
  </si>
  <si>
    <t>Основы риторической критики: Уч.пос. / В.В.Смолененкова - М.:Форум, НИЦ ИНФРА-М,2024 - 191 с.(ВО)(о)</t>
  </si>
  <si>
    <t>ОСНОВЫ РИТОРИЧЕСКОЙ КРИТИКИ</t>
  </si>
  <si>
    <t>Смолененкова В.В.</t>
  </si>
  <si>
    <t>978-5-00091-794-7</t>
  </si>
  <si>
    <t>37.03.01, 44.03.05, 45.03.01, 45.04.01</t>
  </si>
  <si>
    <t>Рекомендовано в качестве учебного пособия для учебных курсов «История риторической аргументации в России», «Основы риторики», «Риторическая критика» в рамках магистерской программы «Общая теория языка и риторика»</t>
  </si>
  <si>
    <t>818228.01.01</t>
  </si>
  <si>
    <t>Основы Рос. государственности : Уч. / Под ред. А.Д. Гулякова. — М. : РИОР, ИНФРА-М, 2024-232 с.(СПО)(п)</t>
  </si>
  <si>
    <t>ОСНОВЫ РОССИЙСКОЙ ГОСУДАРСТВЕННОСТИ</t>
  </si>
  <si>
    <t>Саломатин А.Ю., Гошуляк В.В., Сеидов Ш.Г. и др.</t>
  </si>
  <si>
    <t>978-5-369-01952-8</t>
  </si>
  <si>
    <t>00.01.03, 00.02.04</t>
  </si>
  <si>
    <t>Пензенский государственный университет</t>
  </si>
  <si>
    <t>818226.02.01</t>
  </si>
  <si>
    <t>Основы рос. государственности: Уч. / Под ред. Гулякова А.Д.-М.:ИЦ РИОР, НИЦ ИНФРА-М,2024.-266 с.:цв.ил.(ВО)(п)</t>
  </si>
  <si>
    <t>Гуляков А.Д., Саломатин А.Ю., Гошуляк В.В. и др.</t>
  </si>
  <si>
    <t>978-5-369-01946-7</t>
  </si>
  <si>
    <t>00.03.42, 00.05.18</t>
  </si>
  <si>
    <t>818364.02.01</t>
  </si>
  <si>
    <t>Основы российской государственности: Уч.пос. / А.Л.Панищев-М.:НИЦ ИНФРА-М,2024.-190 с.(ВО)(п)</t>
  </si>
  <si>
    <t>978-5-16-019549-0</t>
  </si>
  <si>
    <t>175500.07.01</t>
  </si>
  <si>
    <t>Основы русского языка: свободное понимание: Уч.пос. / С.Е.Ефимов-М.:ИЦ РИОР, НИЦ ИНФРА-М,2023.-416 с.(ВО)(п)</t>
  </si>
  <si>
    <t>ОСНОВЫ РУССКОГО ЯЗЫКА: СВОБОДНОЕ ПОНИМАНИЕ</t>
  </si>
  <si>
    <t>Ефимов С. Е.</t>
  </si>
  <si>
    <t>978-5-369-00944-4</t>
  </si>
  <si>
    <t>785356.01.01</t>
  </si>
  <si>
    <t>Основы социального государства: Уч.пос. / О.С.Морозова-М.:НИЦ ИНФРА-М,2023.-152 с.(ВО)(П)</t>
  </si>
  <si>
    <t>ОСНОВЫ СОЦИАЛЬНОГО ГОСУДАРСТВА</t>
  </si>
  <si>
    <t>Морозова О.С.</t>
  </si>
  <si>
    <t>978-5-16-017884-4</t>
  </si>
  <si>
    <t>39.03.02, 41.03.06, 43.03.01, 43.03.02, 43.03.03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</si>
  <si>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в области образования «Науки об обществе» (квалификация (степень) «бакалавр») (протокол № 7 от 21.09.2022)</t>
  </si>
  <si>
    <t>Рязанский государственный университет им. С.А. Есенина</t>
  </si>
  <si>
    <t>481100.07.01</t>
  </si>
  <si>
    <t>Основы социальной полит. и соц. защиты: Уч. пос. / В.И.Шарин-М.:НИЦ ИНФРА-М,2023-383с(ВО:Бакалавр.)</t>
  </si>
  <si>
    <t>ОСНОВЫ СОЦИАЛЬНОЙ ПОЛИТИКИ И СОЦИАЛЬНОЙ ЗАЩИТЫ</t>
  </si>
  <si>
    <t>Шарин В.И.</t>
  </si>
  <si>
    <t>978-5-16-011700-3</t>
  </si>
  <si>
    <t>38.03.01, 38.04.01, 38.04.03, 38.04.04, 39.03.02, 44.03.05</t>
  </si>
  <si>
    <t>Рекомендовано Учебно-методическим объединением по образованию в области экономики в качестве учебного пособия для студентов высших учебных заведений, обучающихся по направлению подготовки 38.03.01 «Экономика», профиль «Экономика труда» (квалификация (степень) «бакалавр»)</t>
  </si>
  <si>
    <t>Уральский государственный экономический университет</t>
  </si>
  <si>
    <t>798339.02.01</t>
  </si>
  <si>
    <t>Основы социальной полит. и соц. защиты: Уч. пос. / В.И.Шарин-М.:НИЦ ИНФРА-М,2023-383с(СПО)(п)</t>
  </si>
  <si>
    <t>978-5-16-018362-6</t>
  </si>
  <si>
    <t>39.02.01</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</si>
  <si>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39.02.01 «Социальная работа» (протокол № 10 от 21.12.2022)</t>
  </si>
  <si>
    <t>112340.04.01</t>
  </si>
  <si>
    <t>Основы социальной работы. - М.: ИЦ РИОР, 2022. - 126 с. - (Шпаргалка [отрывная]).(карм. ф.) (о,к/ф.)</t>
  </si>
  <si>
    <t>ОСНОВЫ СОЦИАЛЬНОЙ РАБОТЫ</t>
  </si>
  <si>
    <t>978-5-369-00532-3</t>
  </si>
  <si>
    <t>061600.14.01</t>
  </si>
  <si>
    <t>Основы социологии и политологии: Уч. / Г.И.Козырев -2 изд.-М.:ИД ФОРУМ, НИЦ ИНФРА-М,2023-271c(ПО)(П)</t>
  </si>
  <si>
    <t>ОСНОВЫ СОЦИОЛОГИИ И ПОЛИТОЛОГИИ, ИЗД.2</t>
  </si>
  <si>
    <t>978-5-8199-0896-9</t>
  </si>
  <si>
    <t>31.02.01, 39.01.01, 39.02.01, 40.02.04</t>
  </si>
  <si>
    <t>Допущено Министерством образования и науки Российской Федерации в качестве учебника для студентов учреждений среднего профессионального образования</t>
  </si>
  <si>
    <t>038420.10.01</t>
  </si>
  <si>
    <t>Основы социологии и политологии: Уч. пос. / М.В.Кернаценский, - 2-е изд.-М.:Форум,2024.-224 с.(П)</t>
  </si>
  <si>
    <t>Кернаценский М. В., Шатина Н. В.</t>
  </si>
  <si>
    <t>978-5-91134-381-1</t>
  </si>
  <si>
    <t>39.01.01, 39.02.01, 39.02.02</t>
  </si>
  <si>
    <t>Допущено Мин. обр. и науки РФ в качестве учебного пособия для студентов учреждений среднего профессионального образования</t>
  </si>
  <si>
    <t>129200.05.01</t>
  </si>
  <si>
    <t>Основы социологии и политологии: Уч. пос./ Р.Ф. Матвеев. - М.: Форум, 2023. - 252 с. (п)</t>
  </si>
  <si>
    <t>ОСНОВЫ СОЦИОЛОГИИ И ПОЛИТОЛОГИИ</t>
  </si>
  <si>
    <t>Матвеев Р. Ф.</t>
  </si>
  <si>
    <t>978-5-91134-411-5</t>
  </si>
  <si>
    <t>39.01.01, 39.02.01, 40.02.04</t>
  </si>
  <si>
    <t>142450.12.01</t>
  </si>
  <si>
    <t>Основы социологии и политологии: Уч.пос. / Ю.Г.Волков, - 2 изд.-М.:НИЦ ИНФРА-М,2024.-204 с.(СПО)(П)</t>
  </si>
  <si>
    <t>Волков Ю.Г., Лубский А.В.</t>
  </si>
  <si>
    <t>978-5-16-011915-1</t>
  </si>
  <si>
    <t>Рекомендовано в качестве учебного пособия для учебных заведений, реализующих программу среднего профессионального образования</t>
  </si>
  <si>
    <t>824066.01.01</t>
  </si>
  <si>
    <t>Основы текстологии. Методы анализа..: Уч.пос. / М.Э.Конурбаев - М.:НИЦ ИНФРА-М,2024 - 533 с.-(ВО)(п)</t>
  </si>
  <si>
    <t>ОСНОВЫ ТЕКСТОЛОГИИ. МЕТОДЫ АНАЛИЗА И РАСШИФРОВКИ ТЕКСТОВ НА АНГЛИЙСКОМ ЯЗЫКЕ. CRITICAL ARISTOTLE. THE NICOMACHEAN ETHICS.</t>
  </si>
  <si>
    <t>Конурбаев М.Э.</t>
  </si>
  <si>
    <t>978-5-16-019809-5</t>
  </si>
  <si>
    <t>45.03.01, 45.03.02, 45.03.03, 45.03.04, 45.03.99</t>
  </si>
  <si>
    <t>409050.10.01</t>
  </si>
  <si>
    <t>Основы философии искусства: Уч.пос. / М.В.Логинова-М.:НИЦ ИНФРА-М,2022.-159 с.(ВО)(о)</t>
  </si>
  <si>
    <t>ОСНОВЫ ФИЛОСОФИИ ИСКУССТВА</t>
  </si>
  <si>
    <t>Логинова М.В.</t>
  </si>
  <si>
    <t>978-5-16-019379-3</t>
  </si>
  <si>
    <t>47.03.01, 47.04.01, 50.03.01, 50.03.02, 50.03.03, 50.03.04, 50.04.01, 50.04.02, 50.04.03, 50.04.04, 51.03.01, 51.03.02, 51.03.03, 51.03.04, 51.03.05, 51.03.06, 51.05.01, 53.04.04</t>
  </si>
  <si>
    <t>Допущено УМО по классическому университетскому образованию в качестве учебного пособия для студентов, обучающихся по направлению 035200 «Изящные искусства»</t>
  </si>
  <si>
    <t>075500.21.01</t>
  </si>
  <si>
    <t>Основы философии: Уч. / О.Д.Волкогонова - М.:ИД ФОРУМ,НИЦ ИНФРА-М,2023 - 480 с.-(СПО)(П)</t>
  </si>
  <si>
    <t>ОСНОВЫ ФИЛОСОФИИ</t>
  </si>
  <si>
    <t>Волкогонова О.Д., Сидорова Н.М.</t>
  </si>
  <si>
    <t>978-5-8199-0694-1</t>
  </si>
  <si>
    <t>00.02.11, 08.02.14, 13.02.05, 15.02.09, 15.02.16, 18.02.09, 18.02.13, 26.02.03, 26.02.06, 27.02.06, 33.02.01, 36.02.01, 38.02.07, 43.02.15, 43.02.16, 43.02.17</t>
  </si>
  <si>
    <t>0106</t>
  </si>
  <si>
    <t>686614.03.01</t>
  </si>
  <si>
    <t>Основы философии: Уч. / Под ред. Липского Б.И. - М.:НИЦ ИНФРА-М,2024. - 307 с.(СПО)(П)</t>
  </si>
  <si>
    <t>Липский Б.И., Гусев С.С., Тульчинский Г.Л. и др.</t>
  </si>
  <si>
    <t>978-5-16-015005-5</t>
  </si>
  <si>
    <t>00.02.11, 08.02.14, 18.02.13, 26.02.03, 26.02.06, 36.02.01, 43.02.15, 43.02.16, 43.02.17</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</si>
  <si>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на базе основного общего образования (протокол № 9 от 28.09.2020)</t>
  </si>
  <si>
    <t>079820.07.01</t>
  </si>
  <si>
    <t>Основы философии: Уч. пос. / Е.Б. Ерина. - М.: ИЦ РИОР:  НИЦ Инфра-М, 2018. - 90 с. (о) к/ф</t>
  </si>
  <si>
    <t>978-5-369-00641-2</t>
  </si>
  <si>
    <t>00.02.11, 00.03.11, 00.05.11, 13.02.05</t>
  </si>
  <si>
    <t>Допущено Федеральным агентством по строительству и жилищно-коммунальному хоз-ву в качестве учебного пособия  для студ. средних спец. учебных зав., обучающихся по строительным специальностям</t>
  </si>
  <si>
    <t>647890.06.01</t>
  </si>
  <si>
    <t>Основы философии: Уч.мет.пос. / Т.В.Голубева - М.:Форум, НИЦ ИНФРА-М,2022.-266 с..-(СПО)(П)</t>
  </si>
  <si>
    <t>Голубева Т.В.</t>
  </si>
  <si>
    <t>978-5-00091-437-3</t>
  </si>
  <si>
    <t>00.02.11, 15.02.09</t>
  </si>
  <si>
    <t>Рекомендовано в качестве учебного пособия для учебных заведений, реализующих программу среднего профессионального образования по всем специальностям</t>
  </si>
  <si>
    <t>Политехнический техникум № 47 имени В.Г. Федорова</t>
  </si>
  <si>
    <t>703533.02.01</t>
  </si>
  <si>
    <t>Основы философии: Уч.пос. / А.Т.Свергузов - М.:НИЦ ИНФРА-М,2023 - 147 с.-(СПО)(П)</t>
  </si>
  <si>
    <t>978-5-16-014880-9</t>
  </si>
  <si>
    <t>00.02.11</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</si>
  <si>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(протокол № 4 от 25.02.2019)</t>
  </si>
  <si>
    <t>043300.25.01</t>
  </si>
  <si>
    <t>Основы философии: Уч.пос. / В.Д.Губин - 4 изд. - М.:Форум,НИЦ ИНФРА-М,2024 - 288 с.-(СПО)(п)</t>
  </si>
  <si>
    <t>ОСНОВЫ ФИЛОСОФИИ, ИЗД.4</t>
  </si>
  <si>
    <t>Губин В.Д.</t>
  </si>
  <si>
    <t>978-5-00091-484-7</t>
  </si>
  <si>
    <t>00.02.11, 14.02.02, 15.02.09, 15.02.16, 33.02.01, 34.02.02, 38.02.01, 38.02.06</t>
  </si>
  <si>
    <t>Рекомендовано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t>
  </si>
  <si>
    <t>682883.04.01</t>
  </si>
  <si>
    <t>Основы флористики: Уч.пос. / И.С.Шевченко - М.:НИЦ ИНФРА-М,2024 - 269 с.(СПО)(П)</t>
  </si>
  <si>
    <t>ОСНОВЫ ФЛОРИСТИКИ</t>
  </si>
  <si>
    <t>Тундалева И.С.</t>
  </si>
  <si>
    <t>978-5-16-014336-1</t>
  </si>
  <si>
    <t>43.01.11</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</si>
  <si>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43.02.05 «Флористика» (протокол № 6 от 08.06.2022)</t>
  </si>
  <si>
    <t>Южно-Уральский государственный университет (национальный исследовательский университет)</t>
  </si>
  <si>
    <t>154500.08.01</t>
  </si>
  <si>
    <t>Основы художественного конструирования: Уч. пос. / Л.И.Коротеева - М.:НИЦ ИНФРА-М,2024-304 с.(ВО)(п)</t>
  </si>
  <si>
    <t>ОСНОВЫ ХУДОЖЕСТВЕННОГО КОНСТРУИРОВАНИЯ</t>
  </si>
  <si>
    <t>Коротеева Л.И., Яскин А.П.</t>
  </si>
  <si>
    <t>978-5-16-018962-8</t>
  </si>
  <si>
    <t>15.03.02, 15.04.01, 15.04.02, 51.03.02</t>
  </si>
  <si>
    <t>Рекомендовано в качестве учебника для студентов высших учебных заведений, обучающихся по УГС 13.00.00 «Электро- и теплоэнергетика»; 15.00.00 «Машиностроение»</t>
  </si>
  <si>
    <t>071700.12.01</t>
  </si>
  <si>
    <t>Основы этики:Уч. / А.В.Разин - М.:ИД ФОРУМ, НИЦ ИНФРА-М,2023 - 304 с.-(СПО)(п)</t>
  </si>
  <si>
    <t>ОСНОВЫ ЭТИКИ</t>
  </si>
  <si>
    <t>Разин А. В.</t>
  </si>
  <si>
    <t>978-5-8199-0261-5</t>
  </si>
  <si>
    <t>00.02.11, 00.02.33</t>
  </si>
  <si>
    <t>Допущено Министерством образования РФ в качестве учебника для студентов общеобразовательных учреждений среднего профессионального образования</t>
  </si>
  <si>
    <t>816579.01.01</t>
  </si>
  <si>
    <t>От теизма — к эготеизму: генезис отнош. чел. и Бога: Моногр. / Е.Ф.Казаков-М.:НИЦ ИНФРА-М,2024.-211 с.(п)</t>
  </si>
  <si>
    <t>ОТ ТЕИЗМА — К ЭГОТЕИЗМУ: ГЕНЕЗИС ОТНОШЕНИЙ ЧЕЛОВЕКА И БОГА</t>
  </si>
  <si>
    <t>978-5-16-019395-3</t>
  </si>
  <si>
    <t>47.03.01, 47.03.03, 47.04.01, 47.06.01, 48.03.01, 48.04.01, 48.06.01</t>
  </si>
  <si>
    <t>647415.06.01</t>
  </si>
  <si>
    <t>Отечественная история: Краткий учеб. курс / Ю.И.Дубровин и др.-М.:Юр.Норма, НИЦ ИНФРА-М,2023-144с(О)</t>
  </si>
  <si>
    <t>ОТЕЧЕСТВЕННАЯ ИСТОРИЯ</t>
  </si>
  <si>
    <t>Дубровин Ю.И., Дубровина О.Ю., Плотникова О.В.</t>
  </si>
  <si>
    <t>978-5-91768-796-4</t>
  </si>
  <si>
    <t>Краткий учебный курс</t>
  </si>
  <si>
    <t>00.03.04, 00.05.04, 26.02.04</t>
  </si>
  <si>
    <t>144900.07.01</t>
  </si>
  <si>
    <t>Отечественная история: Курс лекций / С.П.Бычков-М.:Форум, НИЦ ИНФРА-М,2024.-320 с.(ВО)(п)</t>
  </si>
  <si>
    <t>ОТЕЧЕСТВЕННАЯ ИСТОРИЯ. КУРС ЛЕКЦИЙ</t>
  </si>
  <si>
    <t>Бычков С. П., Дусь Ю. П.</t>
  </si>
  <si>
    <t>978-5-91134-490-0</t>
  </si>
  <si>
    <t>Омский государственный университет им. Ф.М. Достоевского</t>
  </si>
  <si>
    <t>159400.12.01</t>
  </si>
  <si>
    <t>Отечественная история: Уч. / И.Н.Кузнецов - М.:ИНФРА-М,2023 - 639с.(ВО)(П)</t>
  </si>
  <si>
    <t>Кузнецов И. Н.</t>
  </si>
  <si>
    <t>978-5-16-004430-9</t>
  </si>
  <si>
    <t>Рекомендованно в качестве учебника для студентов высших учебных заведений, обучающихся по неисторическим направлениям и специальностям</t>
  </si>
  <si>
    <t>683084.05.01</t>
  </si>
  <si>
    <t>Отечественная история: Уч. / И.Н.Кузнецов-М.:НИЦ ИНФРА-М,2023.-639 с..(СПО)(П)</t>
  </si>
  <si>
    <t>Кузнецов И.Н.</t>
  </si>
  <si>
    <t>978-5-16-013992-0</t>
  </si>
  <si>
    <t>00.01.03, 00.02.04, 26.02.04, 31.02.01</t>
  </si>
  <si>
    <t>Рекомендовано Учебно-методическим советом СПО в качестве учебника для студентов учебных заведений, реализующих программу среднего профессионального образования</t>
  </si>
  <si>
    <t>135700.12.01</t>
  </si>
  <si>
    <t>Отечественная история: Уч. / Н.В. Шишова, - М.: ИНФРА-М, 2024-462с.(ВО) (п)</t>
  </si>
  <si>
    <t>Шишова Н. В., Мининкова Л. В., Ушкалов В. А.</t>
  </si>
  <si>
    <t>978-5-16-004480-4</t>
  </si>
  <si>
    <t>044660.11.01</t>
  </si>
  <si>
    <t>Отечественная история: Уч.пос. / Д.В.Ингерайнен - М.:ИЦ РИОР,НИЦ ИНФРА-М,2019 - 208 с.(О)</t>
  </si>
  <si>
    <t>Ингерайнен Д. В.</t>
  </si>
  <si>
    <t>978-5-369-00650-4</t>
  </si>
  <si>
    <t>0103</t>
  </si>
  <si>
    <t>073660.06.01</t>
  </si>
  <si>
    <t>Отечественная история: Шпаргалка, - 2-е изд.-М.:ИЦ РИОР, -(Шпаргалка [отрывная])(О)</t>
  </si>
  <si>
    <t>ОТЕЧЕСТВЕННАЯ ИСТОРИЯ, ИЗД.2</t>
  </si>
  <si>
    <t>978-5-369-01566-7</t>
  </si>
  <si>
    <t>249500.05.01</t>
  </si>
  <si>
    <t>Отношение к соц. реальности в рос. обществе: Моногр. / В.И.Чупров - М: Юр.Норма,НИЦ ИНФРА-М,2022 - 352 с(п)</t>
  </si>
  <si>
    <t>ОТНОШЕНИЕ К СОЦИАЛЬНОЙ РЕАЛЬНОСТИ В РОССИЙСКОМ ОБЩЕСТВЕ: СОЦИОКУЛЬТУРНЫЙ МЕХАНИЗМ ФОРМИРОВАНИЯ И ВОСПРОИЗВОДСТВА</t>
  </si>
  <si>
    <t>Чупров В. И., Зубок Ю. А., Романович Н. А.</t>
  </si>
  <si>
    <t>978-5-91768-444-4</t>
  </si>
  <si>
    <t>39.03.01, 39.04.01, 47.03.02</t>
  </si>
  <si>
    <t>791869.01.01</t>
  </si>
  <si>
    <t>Очерки методики преподавания рус.яз. как иностр. / Под ред. Милуд М.Р. - М.:НИЦ ИНФРА-М,2024.-137 с.(о)</t>
  </si>
  <si>
    <t>ОЧЕРКИ МЕТОДИКИ ПРЕПОДАВАНИЯ РУССКОГО ЯЗЫКА КАК ИНОСТРАННОГО</t>
  </si>
  <si>
    <t>Гезайли Н., Милуд М.Р.</t>
  </si>
  <si>
    <t>978-5-16-018114-1</t>
  </si>
  <si>
    <t>44.04.01, 44.04.02, 44.04.04, 44.06.01, 45.04.01, 45.06.01</t>
  </si>
  <si>
    <t>656388.04.01</t>
  </si>
  <si>
    <t>Памятники книжного эпоса Запада и Востока: Моногр. / С.Ю.Неклюдов - М.:НИЦ ИНФРА-М,2024 - 482 с.(о)</t>
  </si>
  <si>
    <t>ПАМЯТНИКИ КНИЖНОГО ЭПОСА ЗАПАДА И ВОСТОКА</t>
  </si>
  <si>
    <t>Неклюдов С.Ю., Петров Н.В., Аникеева Т.А. и др.</t>
  </si>
  <si>
    <t>978-5-16-019430-1</t>
  </si>
  <si>
    <t>45.00.00, 44.03.05, 45.06.01, 45.07.01, 51.03.02</t>
  </si>
  <si>
    <t>747393.01.01</t>
  </si>
  <si>
    <t>Панантропея: Монография / С.В.Борзых - М.:НИЦ ИНФРА-М,2021 - 147 с.(Науч.мысль)(О)</t>
  </si>
  <si>
    <t>ПАНАНТРОПЕЯ</t>
  </si>
  <si>
    <t>978-5-16-016704-6</t>
  </si>
  <si>
    <t>171100.06.01</t>
  </si>
  <si>
    <t>Парагеополитика: Монография / Л.О.Терновая-М.:Альфа-М,ИНФРА-М,2023.-656 с.(П)</t>
  </si>
  <si>
    <t>ПАРАГЕОПОЛИТИКА</t>
  </si>
  <si>
    <t>978-5-98281-246-9</t>
  </si>
  <si>
    <t>41.03.04, 41.03.05, 41.03.06, 41.04.04, 41.04.05, 41.06.01, 41.07.01</t>
  </si>
  <si>
    <t>632405.05.01</t>
  </si>
  <si>
    <t>Патопсихология  общественной безопасности: Уч.пос. / Б.Н.Алмазов-М.:НИЦ ИНФРА-М,2023.-219 с-(ВО)(П)</t>
  </si>
  <si>
    <t>ПАТОПСИХОЛОГИЯ  ОБЩЕСТВЕННОЙ БЕЗОПАСНОСТИ</t>
  </si>
  <si>
    <t>Алмазов Б.Н.</t>
  </si>
  <si>
    <t>978-5-16-012148-2</t>
  </si>
  <si>
    <t>37.03.01, 37.05.01, 40.02.02, 40.03.01, 40.04.01, 40.05.01, 44.03.05</t>
  </si>
  <si>
    <t>Рекомендовано в качестве учебного пособия для студентов высших учебных заведений, обучающихся по направлениям подготовки 40.05.01 «Правовое обеспечение национальной безопасности», 40.05.02 «Правоохранительная деятельность», 40.05.03 «Судебная экспертиза» (квалификация «юрист», «судебный эксперт»)</t>
  </si>
  <si>
    <t>373400.07.01</t>
  </si>
  <si>
    <t>Педагогика и психология: Уч.пос. / Л.А.Кудряшева - М.:Вуз. уч., НИЦ ИНФРА-М,2024 - 160 с.(Краткий курс)(О)</t>
  </si>
  <si>
    <t>ПЕДАГОГИКА И ПСИХОЛОГИЯ</t>
  </si>
  <si>
    <t>Кудряшева Л.А.</t>
  </si>
  <si>
    <t>Краткий курс</t>
  </si>
  <si>
    <t>978-5-9558-0262-6</t>
  </si>
  <si>
    <t>00.03.15, 00.05.15</t>
  </si>
  <si>
    <t>764093.04.01</t>
  </si>
  <si>
    <t>Педагогика и психология: Уч.пос. / Л.А.Кудряшева - М.:Вуз. уч., НИЦ ИНФРА-М,2024 - 160 с.(СПО)(П)</t>
  </si>
  <si>
    <t>978-5-9558-0652-5</t>
  </si>
  <si>
    <t>00.02.15</t>
  </si>
  <si>
    <t>Рекомендовано Межрегиональным учебно-методическим советом профессионального образования для использования в учебном процессе в учебных заведениях, реализующих основную профессиональную образовательную программу СПО (протокол № 4 от 21.04.2021)</t>
  </si>
  <si>
    <t>170950.06.01</t>
  </si>
  <si>
    <t>Педагогика рус. богослов. мысли: Моногр. / А.А. Гагаев - 2 изд-М:ИЦ РИОР,НИЦ ИНФРА-М,2023-191с(Науч.мысль)(О)</t>
  </si>
  <si>
    <t>ПЕДАГОГИКА РУССКОЙ БОГОСЛОВСКОЙ МЫСЛИ, ИЗД.2</t>
  </si>
  <si>
    <t>Гагаев А.А., Гагаев П.А.</t>
  </si>
  <si>
    <t>978-5-369-01512-4</t>
  </si>
  <si>
    <t>44.03.01, 44.03.04, 44.03.05, 44.04.04, 46.03.01, 46.04.01, 47.03.03, 47.04.03, 48.03.01, 48.04.01</t>
  </si>
  <si>
    <t>111250.07.01</t>
  </si>
  <si>
    <t>Педагогическая журналистика: Уч.пос. / Т.Е.Денисович - М.:Форум,2023 - 144 с.-(ВО)(О)</t>
  </si>
  <si>
    <t>ПЕДАГОГИЧЕСКАЯ ЖУРНАЛИСТИКА</t>
  </si>
  <si>
    <t>Денисович Т. Е.</t>
  </si>
  <si>
    <t>978-5-91134-346-0</t>
  </si>
  <si>
    <t>272100.05.01</t>
  </si>
  <si>
    <t>Персональный состав городовых приказчиков и губных...: Моногр./А.П.Синелобов - М:ИНФРА-М,2023-174с.</t>
  </si>
  <si>
    <t>ПЕРСОНАЛЬНЫЙ СОСТАВ ГОРОДОВЫХ ПРИКАЗЧИКОВ И ГУБНЫХ СТАРОСТ МОСКОВСКОГО ГОСУДАРСТВА XVI-XVII ВВ.</t>
  </si>
  <si>
    <t>Синелобов А. П.</t>
  </si>
  <si>
    <t>978-5-16-009673-5</t>
  </si>
  <si>
    <t>44.04.01, 46.04.01</t>
  </si>
  <si>
    <t>737557.01.01</t>
  </si>
  <si>
    <t>Персоноцентризм в классич. рус. лит. XIX в.: Моногр. / А.Н.Андреев - М.:НИЦ ИНФРА-М,2021 - 430 с.(О)</t>
  </si>
  <si>
    <t>ПЕРСОНОЦЕНТРИЗМ В КЛАССИЧЕСКОЙ РУССКОЙ ЛИТЕРАТУРЕ XIX ВЕКА. ДИАЛЕКТИКА ХУДОЖЕСТВЕННОГО СОЗНАНИЯ</t>
  </si>
  <si>
    <t>Андреев А.Н.</t>
  </si>
  <si>
    <t>978-5-16-016307-9</t>
  </si>
  <si>
    <t>187650.10.01</t>
  </si>
  <si>
    <t>Перспектива: Уч.пос. / М.А.Пресняков - 2 изд. - М.:Форум, НИЦ ИНФРА-М,2024 - 112 с(СПО)(о)</t>
  </si>
  <si>
    <t>ПЕРСПЕКТИВА, ИЗД.2</t>
  </si>
  <si>
    <t>Пресняков М.А.</t>
  </si>
  <si>
    <t>978-5-00091-657-5</t>
  </si>
  <si>
    <t>54.01.20, 54.02.01, 54.02.02, 54.02.04, 54.02.05, 54.02.06</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</si>
  <si>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54.02.00 «Изобразительные и прикладные виды искусств» (протокол № 13 от 16.09.2019)</t>
  </si>
  <si>
    <t>Высшая школа народных искусств (академия)</t>
  </si>
  <si>
    <t>187650.05.01</t>
  </si>
  <si>
    <t>Перспектива: Уч.пос. / М.А.Пресняков - М.:Форум, НИЦ ИНФРА-М,2018 - 112 с.-(СПО)(о)</t>
  </si>
  <si>
    <t>ПЕРСПЕКТИВА</t>
  </si>
  <si>
    <t>978-5-00091-528-8</t>
  </si>
  <si>
    <t>Рекомендовано в качестве учебного пособия для учебных заведений, реализующих программу среднего профессионального образования по специальностям 54.02.05 «Живопись», 54.02.06 «Изобразительное искусство и черчение», 54.02.01 «Дизайн»</t>
  </si>
  <si>
    <t>404750.07.01</t>
  </si>
  <si>
    <t>Письменные работы научного стиля: Уч.пос. / Л.Н.Авдонина-М.:Форум, НИЦ ИНФРА-М,2023.-72 с.(ВО)(О)</t>
  </si>
  <si>
    <t>ПИСЬМЕННЫЕ РАБОТЫ НАУЧНОГО СТИЛЯ</t>
  </si>
  <si>
    <t>Авдонина Л.Н., Гусева Т.В.</t>
  </si>
  <si>
    <t>978-5-00091-494-6</t>
  </si>
  <si>
    <t>45.03.01, 45.03.02, 45.03.03, 45.03.04, 46.03.01, 46.03.02, 46.03.03, 47.03.01, 47.03.02, 47.03.03, 51.03.01, 51.03.02, 51.03.03</t>
  </si>
  <si>
    <t>798337.01.01</t>
  </si>
  <si>
    <t>Письменные работы научного стиля: Уч.пос. / Л.Н.Авдонина-М.:Форум, НИЦ ИНФРА-М,2024.-72 с.(СПО)(о)</t>
  </si>
  <si>
    <t>978-5-00091-771-8</t>
  </si>
  <si>
    <t>00.02.16</t>
  </si>
  <si>
    <t>400650.04.01</t>
  </si>
  <si>
    <t>Платон: Монография / В.С.Нерсесянц - 2 изд. - М.: Юр.Норма, НИЦ ИНФРА-М,2018 - 112 с.(О)</t>
  </si>
  <si>
    <t>ПЛАТОН</t>
  </si>
  <si>
    <t>978-5-91768-306-5</t>
  </si>
  <si>
    <t>40.03.01, 40.04.01, 40.05.01, 40.05.02, 40.05.03, 44.03.05</t>
  </si>
  <si>
    <t>400650.08.01</t>
  </si>
  <si>
    <t>Платон: монография / В.С.Нерсесянц, - 2 изд.-М.:Юр. НОРМА, НИЦ ИНФРА-М,2023.-112 с.(о)</t>
  </si>
  <si>
    <t>ПЛАТОН, ИЗД.2</t>
  </si>
  <si>
    <t>788255.01.01</t>
  </si>
  <si>
    <t>По следам живого слова: Моногр. / А.И.Лазарев-М.:НИЦ ИНФРА-М,2024.-330 с.(Науч.мысль)(п)</t>
  </si>
  <si>
    <t>ПО СЛЕДАМ ЖИВОГО СЛОВА</t>
  </si>
  <si>
    <t>Лазарев А.И.</t>
  </si>
  <si>
    <t>978-5-16-018364-0</t>
  </si>
  <si>
    <t>44.04.01, 44.04.04, 44.06.01, 45.04.01, 45.06.01</t>
  </si>
  <si>
    <t>682879.06.01</t>
  </si>
  <si>
    <t>По страницам романа «Дворянское гнездо»: особ. идиостиля И.С.Тургенева / Т.П.Ковина-М.:НИЦ ИНФРА-М,2024-184с(о)</t>
  </si>
  <si>
    <t>ПО СТРАНИЦАМ РОМАНА «ДВОРЯНСКОЕ ГНЕЗДО»: ОСОБЕННОСТИ ИДИОСТИЛЯ И.С. ТУРГЕНЕВА</t>
  </si>
  <si>
    <t>Ковина Т.П.</t>
  </si>
  <si>
    <t>978-5-16-014041-4</t>
  </si>
  <si>
    <t>45.03.01, 45.03.02, 45.04.01, 45.04.02, 45.04.03</t>
  </si>
  <si>
    <t>Московский государственный технологический университет "Станкин"</t>
  </si>
  <si>
    <t>378800.12.01</t>
  </si>
  <si>
    <t>Повседневная жизнь советск.чел. в эпоху НЭПа: Моногр. /А.Б.Оришев -М.:ИЦ РИОР,НИЦ ИНФРА-М,2024-150с.(о)</t>
  </si>
  <si>
    <t>ПОВСЕДНЕВНАЯ ЖИЗНЬ СОВЕТСКОГО ЧЕЛОВЕКА В ЭПОХУ НЭПА: ИСТОРИОГРАФИЧЕСКИЙ АНАЛИЗ</t>
  </si>
  <si>
    <t>978-5-369-01460-8</t>
  </si>
  <si>
    <t>37.03.01, 39.03.01, 39.04.01, 41.03.04, 44.03.01, 44.03.05, 46.03.01, 46.04.01, 47.03.01</t>
  </si>
  <si>
    <t>098950.09.01</t>
  </si>
  <si>
    <t>Подготовка рукописи к изданию: Сл.-справ. / Е.Б.Егорова - 2 изд. - М.:Вуз.уч., НИЦ ИНФРА-М,2024-160 с.(О)</t>
  </si>
  <si>
    <t>ПОДГОТОВКА РУКОПИСИ К ИЗДАНИЮ, ИЗД.2</t>
  </si>
  <si>
    <t>Егорова Е.Б.</t>
  </si>
  <si>
    <t>978-5-9558-0474-3</t>
  </si>
  <si>
    <t>42.03.03, 42.04.03</t>
  </si>
  <si>
    <t>809414.01.01</t>
  </si>
  <si>
    <t>Позднеантичная эпистолография латинского Запада..: Моногр. / Е.В.Литовченко-М.:НИЦ ИНФРА-М,2024.-356 с.(п)</t>
  </si>
  <si>
    <t>ПОЗДНЕАНТИЧНАЯ ЭПИСТОЛОГРАФИЯ ЛАТИНСКОГО ЗАПАДА: ЧЕЛОВЕК НА СТЫКЕ ЭПОХ</t>
  </si>
  <si>
    <t>Литовченко Е.В.</t>
  </si>
  <si>
    <t>978-5-16-018937-6</t>
  </si>
  <si>
    <t>44.03.05</t>
  </si>
  <si>
    <t>651734.06.01</t>
  </si>
  <si>
    <t>Политика в сфере обр.в СССР и совр. России: Моногр. /М.Б.Понявина-М.:Вуз.уч.,НИЦ ИНФРА-М,2023-126с</t>
  </si>
  <si>
    <t>ПОЛИТИКА В СФЕРЕ ОБРАЗОВАНИЯ В СССР И СОВРЕМЕННОЙ РОССИИ (ПОЛИТОЛОГИЧЕСКИЙ АНАЛИЗ)</t>
  </si>
  <si>
    <t>Понявина М.Б.</t>
  </si>
  <si>
    <t>Начная книга (ФУ)</t>
  </si>
  <si>
    <t>978-5-9558-0539-9</t>
  </si>
  <si>
    <t>38.03.01, 38.03.04, 40.03.01, 41.04.04, 44.03.01, 44.03.05</t>
  </si>
  <si>
    <t>468950.08.01</t>
  </si>
  <si>
    <t>Политика и Интернет: Монография / Г.Л.Акопов - М.:НИЦ ИНФРА-М,2023 - 202 с.-(Науч.мысль)(О)</t>
  </si>
  <si>
    <t>ПОЛИТИКА И ИНТЕРНЕТ</t>
  </si>
  <si>
    <t>Акопов Г.Л.</t>
  </si>
  <si>
    <t>978-5-16-009930-9</t>
  </si>
  <si>
    <t>00.03.14, 40.03.01, 40.04.01, 41.04.04, 41.06.01</t>
  </si>
  <si>
    <t>Московский государственный технический университет гражданской авиации</t>
  </si>
  <si>
    <t>661919.01.01</t>
  </si>
  <si>
    <t>Политика инновац.развития: опыт Рос.и ее регион./ Е.Г.Кирсанова-М.:Вуз.уч., НИЦ ИНФРА-М,2017-203с(П)</t>
  </si>
  <si>
    <t>ПОЛИТИКА ИННОВАЦИОННОГО РАЗВИТИЯ: ОПЫТ РОССИИ И ЕЕ РЕГИОНОВ</t>
  </si>
  <si>
    <t>Кирсанова Е.Г.</t>
  </si>
  <si>
    <t>978-5-9558-0596-2</t>
  </si>
  <si>
    <t>02.03.03, 38.03.01, 38.03.03, 38.03.04, 40.03.01, 41.03.05, 41.03.06, 42.03.02, 44.03.01, 44.03.05, 46.04.02, 47.03.01, 50.04.04, 51.04.04</t>
  </si>
  <si>
    <t>654566.04.01</t>
  </si>
  <si>
    <t>Политическая биография правящей РКП(б)-ВКП(б)в 1920-1930г.:Моногр./И.А.Анфертьев-М.:НИЦ ИНФРА-М,2020-323с(П)</t>
  </si>
  <si>
    <t>ПОЛИТИЧЕСКАЯ БИОГРАФИЯ ПРАВЯЩЕЙ РКП(Б) - ВКП(Б) В 1920 - 1930-Е ГОДЫ: КРИТИЧЕСКИЙ АНАЛИЗ</t>
  </si>
  <si>
    <t>Научная мысль (РГГУ)</t>
  </si>
  <si>
    <t>978-5-16-012746-0</t>
  </si>
  <si>
    <t>41.03.04, 41.04.04, 44.03.01, 44.03.05, 46.03.01</t>
  </si>
  <si>
    <t>695037.02.01</t>
  </si>
  <si>
    <t>Политическая герменевтика: Моногр. / П.Л.Карабущенко-М.:НИЦ ИНФРА-М,2023.-360 с.(Науч.мысль)(П)</t>
  </si>
  <si>
    <t>ПОЛИТИЧЕСКАЯ ГЕРМЕНЕВТИКА</t>
  </si>
  <si>
    <t>978-5-16-014638-6</t>
  </si>
  <si>
    <t>016000.11.01</t>
  </si>
  <si>
    <t>Политическая история России: Уч. /Ш.М. Мунчаев - 3 изд. - М.: Юр.Норма, НИЦ ИНФРА-М, 2024 -384с(П)</t>
  </si>
  <si>
    <t>ПОЛИТИЧЕСКАЯ ИСТОРИЯ РОССИИ. ОТ ОБРАЗОВАНИЯ РУССКОГО ЦЕНТРАЛИЗОВАННОГО ГОСУДАРСТВА ДО НАЧАЛА XXI ВЕКА, ИЗД.3</t>
  </si>
  <si>
    <t>978-5-91768-686-8</t>
  </si>
  <si>
    <t>00.03.04, 00.05.04, 40.03.01, 41.03.04, 41.03.06, 46.03.01</t>
  </si>
  <si>
    <t>086030.09.01</t>
  </si>
  <si>
    <t>Политическая конфликтология: Уч.пос. / Г.И.Козырев, - 2 изд.-М.:НИЦ ИНФРА-М,2022.-403 с.(ВО)(П)</t>
  </si>
  <si>
    <t>ПОЛИТИЧЕСКАЯ КОНФЛИКТОЛОГИЯ, ИЗД.2</t>
  </si>
  <si>
    <t>978-5-16-015786-3</t>
  </si>
  <si>
    <t>Рекомендовано УМО по классическому университетскому образованию в качестве учебного пособия для студентов вузов, обучающихся по направлению подготовки 41.03.04 «Политология»</t>
  </si>
  <si>
    <t>086030.08.01</t>
  </si>
  <si>
    <t>Политическая конфликтология: уч.пос. / Г.И.Козырев-М.:ИД Форум, ИНФРА-М Издательский Дом,2019.-432 с..-(ВО)(П 7БЦ)</t>
  </si>
  <si>
    <t>ПОЛИТИЧЕСКАЯ КОНФЛИКТОЛОГИЯ</t>
  </si>
  <si>
    <t>978-5-8199-0332-2</t>
  </si>
  <si>
    <t>Рекомендовано УМО по классическому университетскому образованию в качестве учебного пособия для студентов вузов, обучающихся по направлению подготовки ВПО 030200 - Политология</t>
  </si>
  <si>
    <t>653230.03.01</t>
  </si>
  <si>
    <t>Политическая символика: Монография / В.Э.Багдасарян-М.:НИЦ ИНФРА-М,2020.-221 с..-(Науч.мысль)(П)</t>
  </si>
  <si>
    <t>ПОЛИТИЧЕСКАЯ СИМВОЛИКА</t>
  </si>
  <si>
    <t>978-5-16-012895-5</t>
  </si>
  <si>
    <t>40.03.01, 41.03.04, 41.04.04, 44.03.01, 44.03.05, 51.03.01, 51.04.01</t>
  </si>
  <si>
    <t>802973.01.01</t>
  </si>
  <si>
    <t>Политическая социология повседневности: Моногр. / Л.О.Терновая-М.:НИЦ ИНФРА-М,2023.-393 с.(Науч.мысль)(п)</t>
  </si>
  <si>
    <t>ПОЛИТИЧЕСКАЯ СОЦИОЛОГИЯ ПОВСЕДНЕВНОСТИ</t>
  </si>
  <si>
    <t>978-5-16-018474-6</t>
  </si>
  <si>
    <t>37.03.01, 37.03.02, 39.03.01, 39.03.03, 39.04.01, 39.06.01, 47.04.01</t>
  </si>
  <si>
    <t>422950.07.01</t>
  </si>
  <si>
    <t>Политическая социология: Уч.пос. / Г.И.Козырев-М.:ИД ФОРУМ, НИЦ ИНФРА-М,2023.-336 с.(ВО)(П)</t>
  </si>
  <si>
    <t>ПОЛИТИЧЕСКАЯ СОЦИОЛОГИЯ</t>
  </si>
  <si>
    <t>978-5-8199-0540-1</t>
  </si>
  <si>
    <t>39.03.01, 39.04.01, 41.03.04, 41.03.06, 41.04.04</t>
  </si>
  <si>
    <t>728084.01.01</t>
  </si>
  <si>
    <t>Политическая теория: Уч. / Р.Т.Мухаев-М.:НИЦ ИНФРА-М,2023.-659 с.(ВО: Бакалавриат)(п)</t>
  </si>
  <si>
    <t>ПОЛИТИЧЕСКАЯ ТЕОРИЯ</t>
  </si>
  <si>
    <t>978-5-16-017727-4</t>
  </si>
  <si>
    <t>41.03.04</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</si>
  <si>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общественно-гуманитарным направлениям подготовки (квалификация (степень) «бакалавр») (протокол № 6 от 08.06.2022)</t>
  </si>
  <si>
    <t>478350.05.01</t>
  </si>
  <si>
    <t>Политические произведения: Сб. / О.Шпенглер - М.:НИЦ ИНФРА-М,2024 - 318 с.-(Науч.мысль)(О)</t>
  </si>
  <si>
    <t>ПОЛИТИЧЕСКИЕ ПРОИЗВЕДЕНИЯ</t>
  </si>
  <si>
    <t>978-5-16-010282-5</t>
  </si>
  <si>
    <t>659196.05.01</t>
  </si>
  <si>
    <t>Политические процессы: миграция и конфликты: Уч.пос. / О.С.Пустошинская-М.:НИЦ ИНФРА-М,2024-98с(ВО)</t>
  </si>
  <si>
    <t>ПОЛИТИЧЕСКИЕ ПРОЦЕССЫ: МИГРАЦИЯ И КОНФЛИКТЫ</t>
  </si>
  <si>
    <t>Пустошинская О.С.</t>
  </si>
  <si>
    <t>978-5-16-012893-1</t>
  </si>
  <si>
    <t>41.03.01, 41.03.04, 41.03.05, 41.04.01, 41.04.04, 41.04.05</t>
  </si>
  <si>
    <t>683041.04.01</t>
  </si>
  <si>
    <t>Политические сис. постсоветских государств: Уч.пос. / П.В.Кузьмин-М.:НИЦ ИНФРА-М,2024.-208 с.(ВО)(п)</t>
  </si>
  <si>
    <t>ПОЛИТИЧЕСКИЕ СИСТЕМЫ ПОСТСОВЕТСКИХ ГОСУДАРСТВ</t>
  </si>
  <si>
    <t>Кузьмин П.В.</t>
  </si>
  <si>
    <t>978-5-16-019350-2</t>
  </si>
  <si>
    <t>41.03.01, 41.03.04, 41.03.05</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</si>
  <si>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41.03.04 «Политология» (квалификация (степень) «бакалавр») (протокол № 13 от 16.09.2019)</t>
  </si>
  <si>
    <t>405250.08.01</t>
  </si>
  <si>
    <t>Политические учения Древней Греции: Моногр. / В.С.Нерсесянц,-2 изд.-М:Норма,НИЦ ИНФРА-М,2023-272с(О)</t>
  </si>
  <si>
    <t>ПОЛИТИЧЕСКИЕ УЧЕНИЯ ДРЕВНЕЙ ГРЕЦИИ, ИЗД.2</t>
  </si>
  <si>
    <t>978-5-91768-315-7</t>
  </si>
  <si>
    <t>700141.03.01</t>
  </si>
  <si>
    <t>Политический конструктивизм правящей партии...: Моногр. / И.А.Анфертьев - М.:НИЦ ИНФРА-М,2023 - 555 с.(П)</t>
  </si>
  <si>
    <t>ПОЛИТИЧЕСКИЙ КОНСТРУКТИВИЗМ ПРАВЯЩЕЙ ПАРТИИ. ПРОГРАММНЫЕ УСТАНОВКИ РСДРП(Б)-РКП(Б)-ВКП(Б). 1917-1930-Е ГОДЫ</t>
  </si>
  <si>
    <t>978-5-16-014874-8</t>
  </si>
  <si>
    <t>41.03.04, 41.04.04, 41.06.01, 46.03.01, 46.04.01, 46.06.01</t>
  </si>
  <si>
    <t>165650.14.01</t>
  </si>
  <si>
    <t>Политический текст...: Моногр. / Под ред. Желтухиной М.Р. - 2 изд.-М.:НИЦ ИНФРА-М,2023.-155с(О)</t>
  </si>
  <si>
    <t>ПОЛИТИЧЕСКИЙ ТЕКСТ: ПСИХОЛИНГВИСТИЧЕСКИЙ АНАЛИЗ ВОЗДЕЙСТВИЯ НА ЭЛЕКТОРАТ, ИЗД.2</t>
  </si>
  <si>
    <t>Репина Е.А., Желтухина М.Р.</t>
  </si>
  <si>
    <t>978-5-16-018190-5</t>
  </si>
  <si>
    <t>37.03.01, 37.04.01, 41.03.04, 41.03.06, 41.04.04, 42.03.01, 42.04.01, 44.03.02, 44.04.02, 45.03.02, 45.04.02</t>
  </si>
  <si>
    <t>165650.12.01</t>
  </si>
  <si>
    <t>Политический текст: психолинг. анализ..: Моногр./ Под ред. Белянин В.П.-М.:НИЦ ИНФРА-М,2022.-90 с.(Науч. мысль)(О)</t>
  </si>
  <si>
    <t>ПОЛИТИЧЕСКИЙ ТЕКСТ: ПСИХОЛИНГВИСТИЧЕСКИЙ АНАЛИЗ ВОЗДЕЙСТВИЯ НА ЭЛЕКТОРАТ</t>
  </si>
  <si>
    <t>Репина Е.А., Шкуратов В.А., Белянин В.П.</t>
  </si>
  <si>
    <t>978-5-16-005215-1</t>
  </si>
  <si>
    <t>777488.01.01</t>
  </si>
  <si>
    <t>Политическое управление: личностное измерение: Моногр. / А.В.Семёнов-М.:НИЦ ИНФРА-М,2022.-160 с.(О)</t>
  </si>
  <si>
    <t>ПОЛИТИЧЕСКОЕ УПРАВЛЕНИЕ: ЛИЧНОСТНОЕ ИЗМЕРЕНИЕ</t>
  </si>
  <si>
    <t>Семёнов А.В.</t>
  </si>
  <si>
    <t>978-5-16-017702-1</t>
  </si>
  <si>
    <t>636905.04.01</t>
  </si>
  <si>
    <t>Политическое управление: Уч.пос. / Е.П.Тавокин-М.:НИЦ ИНФРА-М,2024.-209 с..-(ВО: Бакалавриат)(п)</t>
  </si>
  <si>
    <t>ПОЛИТИЧЕСКОЕ УПРАВЛЕНИЕ</t>
  </si>
  <si>
    <t>Тавокин Е.П.</t>
  </si>
  <si>
    <t>978-5-16-012198-7</t>
  </si>
  <si>
    <t>38.03.04, 38.04.04, 41.03.04, 41.04.04, 42.03.01, 42.03.02, 42.04.01, 42.04.02</t>
  </si>
  <si>
    <t>Рекомендовано в качестве учебного пособия для студентов высших учебных заведений, обучающихся по направлениям подготовки 38.03.04 «Государственное и муниципальное управление», 42.03.01 «Реклама и связи с общественностью», 41.03.04 «Политология» (квалификация (степень) «бакалавр»)</t>
  </si>
  <si>
    <t>656373.05.01</t>
  </si>
  <si>
    <t>Политология в схемах и табл.: Уч.пос. / А.М.Руденко-М.:ИЦ РИОР, НИЦ ИНФРА-М,2024-274с(ВО: Бакалавр.)</t>
  </si>
  <si>
    <t>ПОЛИТОЛОГИЯ В СХЕМАХ И ТАБЛИЦАХ</t>
  </si>
  <si>
    <t>Руденко А.М., Котлярова В.В., Шестаков Ю.А.</t>
  </si>
  <si>
    <t>978-5-369-01717-3</t>
  </si>
  <si>
    <t>00.03.07, 00.05.07</t>
  </si>
  <si>
    <t>173850.09.01</t>
  </si>
  <si>
    <t>Политология: Уч. / А.Б. Оришев. - М.: ИЦ РИОР: НИЦ ИНФРА-М, 2024. - 288 с. - (ВО) (П)</t>
  </si>
  <si>
    <t>ПОЛИТОЛОГИЯ</t>
  </si>
  <si>
    <t>Оришев А. Б.</t>
  </si>
  <si>
    <t>978-5-369-00981-9</t>
  </si>
  <si>
    <t>Допущено Учебно-методическим объединением по образованию в области производственного менеджмента в качестве учебника для студентов вузов, обучающихся по специальностям: 151900, 230100, 280700</t>
  </si>
  <si>
    <t>021100.16.01</t>
  </si>
  <si>
    <t>Политология: Уч. / В.М.Корельский и др. - 2 изд. - М.:НОРМА, ИНФРА-М,2020 - 512 с.(П)</t>
  </si>
  <si>
    <t>ПОЛИТОЛОГИЯ, ИЗД.2</t>
  </si>
  <si>
    <t>Корельский В. М., Кокотов А. Н., Лазутин Л. А., Перевалов В. Д.</t>
  </si>
  <si>
    <t>НОРМА</t>
  </si>
  <si>
    <t>978-5-468-00270-4</t>
  </si>
  <si>
    <t>Рекомендовано Мин. обр. и науки РФ в качестве учебника для студентов вузов, обучающихся по специальности 021100 "Юриспруденция"</t>
  </si>
  <si>
    <t>0209</t>
  </si>
  <si>
    <t>162500.16.01</t>
  </si>
  <si>
    <t>Политология: Уч. / К.С.Гаджиев - М.:НИЦ ИНФРА-М, 2024 - 384 с.(ВО: Бакалавриат)(п)</t>
  </si>
  <si>
    <t>Гаджиев К. С., Примова Э. Н.</t>
  </si>
  <si>
    <t>978-5-16-004642-6</t>
  </si>
  <si>
    <t>Допущено Научно-методическим советом по политологии Министерства образования и науки Российской Федерации в качестве учебника для студентов высших учебных заведений</t>
  </si>
  <si>
    <t>Национальный исследовательский институт мировой экономики и международных отношений им. Е.М. Примако</t>
  </si>
  <si>
    <t>745701.02.01</t>
  </si>
  <si>
    <t>Политология: Уч. / К.С.Гаджиев-М.:НИЦ ИНФРА-М,2021.-384 с..-(ВО: Специалитет)(П)</t>
  </si>
  <si>
    <t>Гаджиев К.С., Примова Э.Н.</t>
  </si>
  <si>
    <t>978-5-16-016547-9</t>
  </si>
  <si>
    <t>00.05.07, 40.05.01, 40.05.02, 40.05.03, 40.05.04</t>
  </si>
  <si>
    <t>154800.08.01</t>
  </si>
  <si>
    <t>Политология: Уч. / М.Д. Валовая. - 2-e изд. - М.: Магистр:  ИНФРА-М, 2023. - 336 с. (п)</t>
  </si>
  <si>
    <t>Валовая М. Д.</t>
  </si>
  <si>
    <t>978-5-9776-0147-4</t>
  </si>
  <si>
    <t>673875.05.01</t>
  </si>
  <si>
    <t>Политология: Уч. / Я.А.Пляйс и др. - 2 изд. - М.:НИЦ ИНФРА-М,2023 - 414 с.(ВО)(П)</t>
  </si>
  <si>
    <t>Пляйс Я.А., Брега А.В., Петросянц Д.В. и др.</t>
  </si>
  <si>
    <t>978-5-16-016755-8</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</si>
  <si>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основным образовательным программам высшего образования по направлениям подготовки бакалавриата (протокол № 8 от 29.04.2019)</t>
  </si>
  <si>
    <t>745703.05.01</t>
  </si>
  <si>
    <t>Политология: Уч. / Я.А.Пляйс и др. - 2 изд. - М.:НИЦ ИНФРА-М,2024 - 414 с.-(ВО: Специалитет)(П)</t>
  </si>
  <si>
    <t>978-5-16-016548-6</t>
  </si>
  <si>
    <t>00.05.07, 38.05.01, 38.05.02, 40.05.01, 40.05.02, 40.05.03, 40.05.04</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</si>
  <si>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основным образовательным программам высшего образования по направлениям подготовки специалитета (протокол № 8 от 22.06.2020)</t>
  </si>
  <si>
    <t>673875.02.01</t>
  </si>
  <si>
    <t>Политология: Уч. / Я.А.Пляйс и др.-М.:НИЦ ИНФРА-М,2018.-366 с..-(ВО: Бакалавриат (Финунивер.))(П)</t>
  </si>
  <si>
    <t>978-5-16-013227-3</t>
  </si>
  <si>
    <t>Рекомендовано в качестве учебника для студентов высших учебных заведений, обучающихся по гуманитарным, социально-экономическим, математическим, естественным, техническим направлениям подготовки (квалификация (степень) «бакалавр»)</t>
  </si>
  <si>
    <t>097300.13.01</t>
  </si>
  <si>
    <t>Политология: Уч. пос. / Г.И. Козырев - М.: ИНФРА-М, 2023 - 368 с.(ВО) (п)</t>
  </si>
  <si>
    <t>978-5-16-018511-8</t>
  </si>
  <si>
    <t>Допущено научно-методическим советом по политологии Министерства образования и науки Российской Федерации в качестве учебного пособия для студентов высших учебных заведений</t>
  </si>
  <si>
    <t>179200.05.01</t>
  </si>
  <si>
    <t>Посредничество: сист.-междисципл. анализ: Моногр. / В.Д.Голиков - М.:НИЦ Инфра-М,2022-152с.(Науч. мысль) (о)</t>
  </si>
  <si>
    <t>ПОСРЕДНИЧЕСТВО: СИСТЕМНО-МЕЖДИСЦИПЛИНАРНЫЙ АНАЛИЗ</t>
  </si>
  <si>
    <t>Голиков В. Д., Абдуллина С. В.</t>
  </si>
  <si>
    <t>978-5-16-005480-3</t>
  </si>
  <si>
    <t>38.03.01, 38.03.02, 38.04.01, 38.04.02, 41.03.06</t>
  </si>
  <si>
    <t>667705.06.01</t>
  </si>
  <si>
    <t>Постижение природы и сущности чел...:Моногр. / А.А.Туман-Никифоров-М.:НИЦ ИНФРА-М, СФУ,2024-226с.(п)</t>
  </si>
  <si>
    <t>ПОСТИЖЕНИЕ ПРИРОДЫ И СУЩНОСТИ ЧЕЛОВЕКА: ОТ ФИЛОСОФСКОЙ АНТРОПОЛОГИИ ДО ГУМАНОЛОГИИ</t>
  </si>
  <si>
    <t>Туман-Никифоров А.А., Туман-Никифорова И.О.</t>
  </si>
  <si>
    <t>978-5-16-018249-0</t>
  </si>
  <si>
    <t>Красноярский Государственный Аграрный Университет</t>
  </si>
  <si>
    <t>725297.02.01</t>
  </si>
  <si>
    <t>Поэзия Николая Перовского: Моногр. / В.К.Харченко - М.:НИЦ ИНФРА-М,2022 - 121 с.(Науч.мысль)(О)</t>
  </si>
  <si>
    <t>ПОЭЗИЯ НИКОЛАЯ ПЕРОВСКОГО</t>
  </si>
  <si>
    <t>978-5-16-015886-0</t>
  </si>
  <si>
    <t>818376.01.01</t>
  </si>
  <si>
    <t>Поэтика имени в творчестве И. А. Бунина: Моногр. / Я.В.Баженова-М.:НИЦ ИНФРА-М, СФУ,2024.-270 с.(о)</t>
  </si>
  <si>
    <t>ПОЭТИКА ИМЕНИ В ТВОРЧЕСТВЕ И. А. БУНИНА</t>
  </si>
  <si>
    <t>Баженова Я.В.</t>
  </si>
  <si>
    <t>978-5-16-019508-7</t>
  </si>
  <si>
    <t>45.03.99, 52.05.04</t>
  </si>
  <si>
    <t>440650.06.01</t>
  </si>
  <si>
    <t>Поэтика прозы Л.И. Бородина: диалог с культ.: Моногр./В.Д.Серафимова-М.:НИЦ ИНФРА-М,2024.-100 с.(О)</t>
  </si>
  <si>
    <t>ПОЭТИКА ПРОЗЫ Л.И. БОРОДИНА: ДИАЛОГ С КУЛЬТУРНЫМ ПРОСТРАНСТВОМ</t>
  </si>
  <si>
    <t>978-5-16-006773-5</t>
  </si>
  <si>
    <t>45.03.01, 45.04.01, 53.04.05</t>
  </si>
  <si>
    <t>744591.02.01</t>
  </si>
  <si>
    <t>Правда: соц.-правовой и религиозно-нравственный идеал Древней Руси (XI-XVII в.). / Н.А.Шавеко-М.:НИЦ ИНФРА-М,2021.-159 с(О)</t>
  </si>
  <si>
    <t>ПРАВДА: СОЦИАЛЬНО-ПРАВОВОЙ И РЕЛИГИОЗНО-НРАВСТВЕННЫЙ ИДЕАЛ ДРЕВНЕЙ РУСИ (XI-XVII ВЕКА). ИСТОРИКО-ФИЛОСОФСКОЕ ИССЛЕДОВАНИЕ</t>
  </si>
  <si>
    <t>Шавеко Н.А.</t>
  </si>
  <si>
    <t>978-5-16-016655-1</t>
  </si>
  <si>
    <t>40.04.01, 40.06.01, 46.04.01, 46.06.01, 47.06.01</t>
  </si>
  <si>
    <t>Институт философии и права Уральского отделения Российской академии наук, Удмуртский ф-л</t>
  </si>
  <si>
    <t>054790.13.01</t>
  </si>
  <si>
    <t>Правила русской орфографии и пунктуации - 2 изд. - М.:ИЦ РИОР,НИЦ ИНФРА-М,2024 - 98 с.(О)</t>
  </si>
  <si>
    <t>ПРАВИЛА РУССКОЙ ОРФОГРАФИИ И ПУНКТУАЦИИ, ИЗД.2</t>
  </si>
  <si>
    <t>978-5-369-00738-9</t>
  </si>
  <si>
    <t>31.02.01, 45.03.01</t>
  </si>
  <si>
    <t>054790.07.01</t>
  </si>
  <si>
    <t>Правила русской орфографии и пунктуации - М.:ИЦ РИОР, 2018. - 96 с.(О) [0+]</t>
  </si>
  <si>
    <t>ПРАВИЛА РУССКОЙ ОРФОГРАФИИ И ПУНКТУАЦИИ</t>
  </si>
  <si>
    <t>978-5-9557-0101-1</t>
  </si>
  <si>
    <t>632928.03.01</t>
  </si>
  <si>
    <t>Право на бунт в культур.традиции...: Моногр. / А.В.Скиперских-М.:НИЦ ИНФРА-М,2023-266(Науч.мысль)(П)</t>
  </si>
  <si>
    <t>ПРАВО НА БУНТ В КУЛЬТУРНОЙ ТРАДИЦИИ: ЕВРОПЕЙСКИЙ И РУССКИЙ КОНТЕКСТ</t>
  </si>
  <si>
    <t>978-5-16-012036-2</t>
  </si>
  <si>
    <t>632622.04.01</t>
  </si>
  <si>
    <t>Правовое обеспеч.соц.работы: Уч.пос. / Е.П.Агапов - М.:ИЦ РИОР,НИЦ ИНФРА-М,2021 - 267 с.(ВО:Бакалавр.)(П)</t>
  </si>
  <si>
    <t>ПРАВОВОЕ ОБЕСПЕЧЕНИЕ СОЦИАЛЬНОЙ РАБОТЫ</t>
  </si>
  <si>
    <t>Агапов Е.П.</t>
  </si>
  <si>
    <t>978-5-369-01554-4</t>
  </si>
  <si>
    <t>665872.05.01</t>
  </si>
  <si>
    <t>Православная символика в ист. рус. словесности: Моногр. / И.В.Волосков-М.:НИЦ ИНФРА-М,2024.-130с.(О)</t>
  </si>
  <si>
    <t>ПРАВОСЛАВНАЯ СИМВОЛИКА В ИСТОРИИ РУССКОЙ СЛОВЕСНОСТИ</t>
  </si>
  <si>
    <t>978-5-16-013503-8</t>
  </si>
  <si>
    <t>45.03.01, 51.03.01, 51.03.06, 52.03.04, 52.03.05</t>
  </si>
  <si>
    <t>304400.03.01</t>
  </si>
  <si>
    <t>Православная социология: Уч.пос. / В.В.Афанасьев - 2 изд.-М.:НИЦ ИНФРА-М,2017-162с.(ВО:Бакалавр.)(п)</t>
  </si>
  <si>
    <t>ПРАВОСЛАВНАЯ СОЦИОЛОГИЯ, ИЗД.2</t>
  </si>
  <si>
    <t>978-5-16-011556-6</t>
  </si>
  <si>
    <t>39.03.01, 39.03.02, 41.03.04, 41.03.06, 47.03.02, 47.03.03, 48.03.01</t>
  </si>
  <si>
    <t>776402.01.01</t>
  </si>
  <si>
    <t>Православное вероучение...: Уч.пос. / А.А.Карпиков - М.:НИЦ ИНФРА-М,2022 - 268 с.-(ВО)(П)</t>
  </si>
  <si>
    <t>ПРАВОСЛАВНОЕ ВЕРОУЧЕНИЕ: ДУХОВНО-НРАВСТВЕННЫЕ ОСНОВЫ РОССИЙСКОГО КАЗАЧЕСТВА</t>
  </si>
  <si>
    <t>Карпиков А.А., Кондратьев С.В.</t>
  </si>
  <si>
    <t>978-5-16-017600-0</t>
  </si>
  <si>
    <t>48.03.01, 48.04.01</t>
  </si>
  <si>
    <t>698024.02.01</t>
  </si>
  <si>
    <t>Православное вероучение: духовно-нравств. основы...: Уч.пос. / А.А.Карпиков-М.:НИЦ ИНФРА-М,2023.-268 с.(П)</t>
  </si>
  <si>
    <t>978-5-16-015143-4</t>
  </si>
  <si>
    <t>277400.07.01</t>
  </si>
  <si>
    <t>Практика зарубежного регионоведения и мировой...: Уч. / А.Д.Воскресенский - Магистр:ИНФРА-М,2024-560с(П)</t>
  </si>
  <si>
    <t>ПРАКТИКА ЗАРУБЕЖНОГО РЕГИОНОВЕДЕНИЯ И МИРОВОЙ ПОЛИТИКИ</t>
  </si>
  <si>
    <t>Воскресенский А. Д., Байков А. А., Белокреницкий В. Я., Ермолаев А. О., Воскресенский А. Д.</t>
  </si>
  <si>
    <t>Магистратура</t>
  </si>
  <si>
    <t>978-5-9776-0312-6</t>
  </si>
  <si>
    <t>41.03.01, 41.03.04, 41.03.05, 41.03.06, 41.04.01, 41.04.04, 41.04.05</t>
  </si>
  <si>
    <t>121300.08.01</t>
  </si>
  <si>
    <t>Практикум по отечественной истории: Уч.пос. / Е.А.Назырова - М.:Вуз. уч., НИЦ ИНФРА-М,2022 - 239 с.(о)</t>
  </si>
  <si>
    <t>ПРАКТИКУМ ПО ОТЕЧЕСТВЕННОЙ ИСТОРИИ</t>
  </si>
  <si>
    <t>Назырова Е.А.</t>
  </si>
  <si>
    <t>978-5-9558-0653-2</t>
  </si>
  <si>
    <t>Рекомендовано Научно-методическим советом по заочному экономическому образованию в качестве учебного пособия для студентов высших учебных заведений, обучающихся по специальностям «Менеджмент организации» и «Государственное и муниципальное управление»</t>
  </si>
  <si>
    <t>177950.10.01</t>
  </si>
  <si>
    <t>Практикум по философии: Уч. пос. / И.Ю. Медакова. - М.: Форум:  НИЦ ИНФРА-М, 2024. - 192 с.(ПрофОбр)</t>
  </si>
  <si>
    <t>ПРАКТИКУМ ПО ФИЛОСОФИИ</t>
  </si>
  <si>
    <t>Медакова И. Ю.</t>
  </si>
  <si>
    <t>978-5-91134-586-0</t>
  </si>
  <si>
    <t>ГБОУ школа № 1349</t>
  </si>
  <si>
    <t>031119.14.01</t>
  </si>
  <si>
    <t>Практическая граммат.нем.яз.: Уч. пос./М.М.Васильева -14 изд. -М.:Альфа-М, НИЦ ИНФРА-М,2017-240с(П)</t>
  </si>
  <si>
    <t>ПРАКТИЧЕСКАЯ ГРАММАТИКА НЕМЕЦКОГО ЯЗЫКА, ИЗД.14</t>
  </si>
  <si>
    <t>978-5-98281-413-5</t>
  </si>
  <si>
    <t>Рекомендовано Министерством образования РФ в качестве учебного пособия для студентов неязыковых высших учебных заведений</t>
  </si>
  <si>
    <t>1415</t>
  </si>
  <si>
    <t>720443.03.01</t>
  </si>
  <si>
    <t>Практическая грамматика нем. яз.: Уч.пос. / М.М.Васильева - 15 изд. - М.:НИЦ ИНФРА-М,2023-255 с.(П)</t>
  </si>
  <si>
    <t>ПРАКТИЧЕСКАЯ ГРАММАТИКА НЕМЕЦКОГО ЯЗЫКА, ИЗД.15</t>
  </si>
  <si>
    <t>978-5-16-015704-7</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</si>
  <si>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(протокол № 12 от 24.06.2019)</t>
  </si>
  <si>
    <t>1520</t>
  </si>
  <si>
    <t>364500.05.01</t>
  </si>
  <si>
    <t>Практическая девиантология: Уч.мет.пос. / Н.П.Фетискин-М.:Форум, НИЦ ИНФРА-М,2023.-272 с.(ВО)(П)</t>
  </si>
  <si>
    <t>ПРАКТИЧЕСКАЯ ДЕВИАНТОЛОГИЯ</t>
  </si>
  <si>
    <t>Фетискин Н.П.</t>
  </si>
  <si>
    <t>978-5-00091-742-8</t>
  </si>
  <si>
    <t>683159.07.01</t>
  </si>
  <si>
    <t>Практический курс персидского яз.: Уч. / А.Н.Сухоруков - М.:НИЦ ИНФРА-М,2024 - 218 с.(ВО)(п)</t>
  </si>
  <si>
    <t>ПРАКТИЧЕСКИЙ КУРС ПЕРСИДСКОГО ЯЗЫКА</t>
  </si>
  <si>
    <t>Сухоруков А.Н.</t>
  </si>
  <si>
    <t>978-5-16-019302-1</t>
  </si>
  <si>
    <t>45.00.00, 45.03.02</t>
  </si>
  <si>
    <t>Рекомендовано Учебно-методическим советом ВО в качестве учебника для студентов высших учебных заведений, обучающихся по направлению подготовки 45.03.01 «Филология» (квалификация (степень) «бакалавр»)</t>
  </si>
  <si>
    <t>747877.01.01</t>
  </si>
  <si>
    <t>Пресса становится властью: Политич. дискус..: Моногр. / М.А.Филимонова, - 2 изд.-М.:НИЦ ИНФРА-М,2021.-203 с.(О)</t>
  </si>
  <si>
    <t>ПРЕССА СТАНОВИТСЯ ВЛАСТЬЮ: ПОЛИТИЧЕСКИЕ ДИСКУССИИ НА СТРАНИЦАХ ПЕРИОДИЧЕСКОЙ ПЕЧАТИ США В КОНЦЕ XVIII ВЕКА, ИЗД.2</t>
  </si>
  <si>
    <t>978-5-16-016672-8</t>
  </si>
  <si>
    <t>41.03.06, 41.04.04, 41.06.01</t>
  </si>
  <si>
    <t>086190.15.01</t>
  </si>
  <si>
    <t>Прикладная психология: Уч.пос. / Н.П.Рапохин - 2 изд, - М.:НИЦ ИНФРА-М,2024 - 471 с.(ВО)(п)</t>
  </si>
  <si>
    <t>ПРИКЛАДНАЯ ПСИХОЛОГИЯ, ИЗД.2</t>
  </si>
  <si>
    <t>Рапохин Н. П.</t>
  </si>
  <si>
    <t>978-5-16-019204-8</t>
  </si>
  <si>
    <t>38.03.02, 44.03.01, 44.03.02, 44.03.05, 44.04.02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</si>
  <si>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38.03.02 «Менеджмент», 41.03.05 «Международные отношения» (квалификация (степень) «бакалавр») (протокол № 3 от 17.03.2021)</t>
  </si>
  <si>
    <t>086190.11.01</t>
  </si>
  <si>
    <t>Прикладная психология: Уч.пос. / Н.П.Рапохин-М.:НИЦ ИНФРА-М,2020.-430 с..-(ВО: Бакалавриат)(П)</t>
  </si>
  <si>
    <t>ПРИКЛАДНАЯ ПСИХОЛОГИЯ</t>
  </si>
  <si>
    <t>978-5-16-015552-4</t>
  </si>
  <si>
    <t>Рекомендовано Институтом международных отношений МИФИ в качестве учебного пособия для студентов, обучающихся по специальностям «Международные отношения», «Менеджмент», «Педагогика», «Психология»</t>
  </si>
  <si>
    <t>733752.04.01</t>
  </si>
  <si>
    <t>Прикладная филология: Монография / В.К.Харченко - М.:НИЦ ИНФРА-М,2024 - 217 с.-(Науч.мысль)(О)</t>
  </si>
  <si>
    <t>ПРИКЛАДНАЯ ФИЛОЛОГИЯ</t>
  </si>
  <si>
    <t>978-5-16-016117-4</t>
  </si>
  <si>
    <t>45.03.01, 50.03.01</t>
  </si>
  <si>
    <t>241700.05.01</t>
  </si>
  <si>
    <t>Принцип оценочной актуализации в совр. англ. яз.: Моногр./И.В.Чекулай - М:НИЦ ИНФРА-М,2023-160с (о)</t>
  </si>
  <si>
    <t>ПРИНЦИП ОЦЕНОЧНОЙ АКТУАЛИЗАЦИИ В СОВРЕМЕННОМ АНГЛИЙСКОМ ЯЗЫКЕ</t>
  </si>
  <si>
    <t>Чекулай И. В., Прохорова О. Н., Багана Ж., Куприева И. А.</t>
  </si>
  <si>
    <t>978-5-16-009254-6</t>
  </si>
  <si>
    <t>807431.01.01</t>
  </si>
  <si>
    <t>Принципы справедливой войны: Монография / Н.А.Шавеко-М.:НИЦ ИНФРА-М,2024.-217 с.(Науч.мысль)(п)</t>
  </si>
  <si>
    <t>ПРИНЦИПЫ СПРАВЕДЛИВОЙ ВОЙНЫ</t>
  </si>
  <si>
    <t>978-5-16-018935-2</t>
  </si>
  <si>
    <t>41.04.04, 47.06.01</t>
  </si>
  <si>
    <t>167450.09.01</t>
  </si>
  <si>
    <t>Принятие роли матери: клинико-психолог. анализ: Моногр. / Т.Д. Василенко - М.: Форум, 2024-176с. (о)</t>
  </si>
  <si>
    <t>ПРИНЯТИЕ РОЛИ МАТЕРИ: КЛИНИКО-ПСИХОЛОГИЧЕСКИЙ АНАЛИЗ</t>
  </si>
  <si>
    <t>Василенко Т. Д., Земзюлина И. н.</t>
  </si>
  <si>
    <t>978-5-91134-592-1</t>
  </si>
  <si>
    <t>37.00.00, 37.03.01, 37.03.02, 37.04.01, 37.04.02, 37.05.01, 37.06.01</t>
  </si>
  <si>
    <t>Курский государственный медицинский университет</t>
  </si>
  <si>
    <t>667542.02.01</t>
  </si>
  <si>
    <t>Природа кризиса созн.в эпоху глобализ.: Моногр./ Л.Д.Рассказов,- 5изд.-М.:ИНФРА-М; Красноярск:Сиб.федер.ун-т.2020-203с</t>
  </si>
  <si>
    <t>ПРИРОДА КРИЗИСА СОЗНАНИЯ В ЭПОХУ ГЛОБАЛИЗАЦИИ: СОЦИАЛЬНО-ФИЛОСОФСКИЙ АНАЛИЗ АКТУАЛЬНЫХ ОБЩЕСТВЕННЫХ ЯВЛЕНИЙ, ИЗД.5</t>
  </si>
  <si>
    <t>978-5-16-013201-3</t>
  </si>
  <si>
    <t>737831.06.01</t>
  </si>
  <si>
    <t>Проактивная б-ка в информационно-обр. среде универ.: Моногр. / Р.А.Барышев - М.:НИЦ ИНФРА-М,2024 - 261 с.(о)</t>
  </si>
  <si>
    <t>ПРОАКТИВНАЯ БИБЛИОТЕКА В ИНФОРМАЦИОННО-ОБРАЗОВАТЕЛЬНОЙ СРЕДЕ УНИВЕРСИТЕТА</t>
  </si>
  <si>
    <t>Барышев Р.А.</t>
  </si>
  <si>
    <t>978-5-16-017585-0</t>
  </si>
  <si>
    <t>51.04.06, 51.06.01</t>
  </si>
  <si>
    <t>181450.04.01</t>
  </si>
  <si>
    <t>Проблема духовного в запад. и восточ. культуре...: Моногр. /С.А.Нижников-М.:НИЦ ИНФРА-М,2021-168с(о)</t>
  </si>
  <si>
    <t>ПРОБЛЕМА ДУХОВНОГО В ЗАПАДНОЙ И ВОСТОЧНОЙ КУЛЬТУРЕ И ФИЛОСОФИИ</t>
  </si>
  <si>
    <t>978-5-16-005502-2</t>
  </si>
  <si>
    <t>706847.02.01</t>
  </si>
  <si>
    <t>Проблема становления романтич. историзма и...: Монография / Г.Х.Казаков - М. : ИНФРА-М, 2023.-198 с.(О)</t>
  </si>
  <si>
    <t>ПРОБЛЕМА СТАНОВЛЕНИЯ РОМАНТИЧЕСКОГО ИСТОРИЗМА И РЕАБИЛИТАЦИИ СРЕДНЕВЕКОВОЙ КУЛЬТУРЫ В ТВОРЧЕСКОМ НАСЛЕДИИ Ф.Р. ДЕ ШАТОБРИАНА</t>
  </si>
  <si>
    <t>Казакова Г.Х.</t>
  </si>
  <si>
    <t>978-5-16-015635-4</t>
  </si>
  <si>
    <t>633167.05.01</t>
  </si>
  <si>
    <t>Проблемы детско-родительских отношен.: Моногр. / Е.М.Ижванова-М.:НИЦ ИНФРА-М,2024-89с(Науч.мысль)(О)</t>
  </si>
  <si>
    <t>ПРОБЛЕМЫ ДЕТСКО-РОДИТЕЛЬСКИХ ОТНОШЕНИЙ</t>
  </si>
  <si>
    <t>Ижванова Е.М.</t>
  </si>
  <si>
    <t>978-5-16-012045-4</t>
  </si>
  <si>
    <t>37.03.01, 44.03.05</t>
  </si>
  <si>
    <t>726681.04.01</t>
  </si>
  <si>
    <t>Проблемы жестокого обр. с детьми в совр. рос. семье: Уч.пос. / О.В.Бессчетнова-М.:НИЦ ИНФРА-М,2024-178с(П)</t>
  </si>
  <si>
    <t>ПРОБЛЕМЫ ЖЕСТОКОГО ОБРАЩЕНИЯ С ДЕТЬМИ В СОВРЕМЕННОЙ РОССИЙСКОЙ СЕМЬЕ</t>
  </si>
  <si>
    <t>Бессчетнова О.В.</t>
  </si>
  <si>
    <t>978-5-16-020038-5</t>
  </si>
  <si>
    <t>39.03.02, 44.03.01, 44.03.02, 44.03.05</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</si>
  <si>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39.03.02 «Социальная работа», 44.03.02 «Психолого-педагогическое образование», 44.03.05 «Педагогическое образование» (квалификация (степень) «бакалавр») (протокол № 6 от 06.04.2020)</t>
  </si>
  <si>
    <t>774196.02.01</t>
  </si>
  <si>
    <t>Проектирование информац.-библиотечных сис.: Уч. / М.А.Рахматуллаев-М.:НИЦ ИНФРА-М,2024.-287 с.(ВО)(п)</t>
  </si>
  <si>
    <t>ПРОЕКТИРОВАНИЕ ИНФОРМАЦИОННО-БИБЛИОТЕЧНЫХ СИСТЕМ</t>
  </si>
  <si>
    <t>Рахматуллаев М.А.</t>
  </si>
  <si>
    <t>978-5-16-018041-0</t>
  </si>
  <si>
    <t>51.02.03, 51.03.06</t>
  </si>
  <si>
    <t>Ташкентский университет информационных технологий</t>
  </si>
  <si>
    <t>362200.04.01</t>
  </si>
  <si>
    <t>Прономинализация как тип ступенчатой транспозиции...: Моногр. /В.В.Шигуров.-2 изд.-М.:НИЦ ИНФРА-М, 2024-160с</t>
  </si>
  <si>
    <t>ПРОНОМИНАЛИЗАЦИЯ КАК ТИП СТУПЕНЧАТОЙ ТРАНСПОЗИЦИИ ЯЗЫКОВЫХ ЕДИНИЦ В СИСТЕМЕ ЧАСТЕЙ РЕЧИ: ТЕОРИЯ ТРАНСПОЗИЦИОННОЙ ГРАММАТИКИ РУССКОГО ЯЗЫКА, ИЗД.2</t>
  </si>
  <si>
    <t>В.В.Шигуров</t>
  </si>
  <si>
    <t>978-5-16-010968-8</t>
  </si>
  <si>
    <t>44.03.05, 45.03.02, 45.03.03, 45.03.04, 45.04.02, 45.04.03, 51.03.01</t>
  </si>
  <si>
    <t>703983.07.01</t>
  </si>
  <si>
    <t>Пропедевтика (основы композиции): Уч. / Л.М.Тухбатуллина - М.:НИЦ ИНФРА-М,2023 - 116 с.(ВО)(О)</t>
  </si>
  <si>
    <t>ПРОПЕДЕВТИКА (ОСНОВЫ КОМПОЗИЦИИ)</t>
  </si>
  <si>
    <t>Тухбатуллина Л.М., Сафина Л.А., Хамматова В.В.</t>
  </si>
  <si>
    <t>978-5-16-018638-2</t>
  </si>
  <si>
    <t>42.02.01, 43.02.17, 44.03.01, 51.03.02, 54.02.01, 54.02.02, 54.03.01, 54.04.01</t>
  </si>
  <si>
    <t>Рекомендовано УМО РАЕ по классическому университетскому и техническому образованию в качестве учебника для студентов высших учебных заведений, обучающихся по направлению подготовки 54.03.01 «Дизайн»</t>
  </si>
  <si>
    <t>667254.02.01</t>
  </si>
  <si>
    <t>Противоречия и вызовы евраз.интеграции..: Моногр./ Под ред. Слуцкого Л.Э.-М.:НИЦ ИНФРА-М,2020-251с(Научная мысль)(П)</t>
  </si>
  <si>
    <t>ПРОТИВОРЕЧИЯ И ВЫЗОВЫ ЕВРАЗИЙСКОЙ ИНТЕГРАЦИИ: ПУТИ ПРЕОДОЛЕНИЯ</t>
  </si>
  <si>
    <t>Валовая М.Д., Зубенко В.В., Константинова Е.А. и др.</t>
  </si>
  <si>
    <t>978-5-16-013848-0</t>
  </si>
  <si>
    <t>38.03.01, 38.03.04, 38.04.01, 38.04.04, 40.04.01, 41.03.05, 41.04.04, 41.04.05, 44.03.05</t>
  </si>
  <si>
    <t>730830.03.01</t>
  </si>
  <si>
    <t>Противоречия медийной глобализации: Уч.пос. / В.И.Сапунов-М.:НИЦ ИНФРА-М,2023.-233 с.(ВО)(П)</t>
  </si>
  <si>
    <t>ПРОТИВОРЕЧИЯ МЕДИЙНОЙ ГЛОБАЛИЗАЦИИ: ПОЛИТЭКОНОМИЧЕСКИЕ И СОЦИОКУЛЬТУРНЫЕ АСПЕКТЫ</t>
  </si>
  <si>
    <t>Сапунов В.И., Хорольский В.В.</t>
  </si>
  <si>
    <t>978-5-16-018647-4</t>
  </si>
  <si>
    <t>42.04.02, 42.04.04, 42.04.05</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</si>
  <si>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42.03.02 «Журналистика» (квалификация (степень) «бакалавр») (протокол № 7 от 21.09.2022)</t>
  </si>
  <si>
    <t>633402.04.01</t>
  </si>
  <si>
    <t>Профессиограмма социального работника: Уч. / С.Н.Козловская, - 2 изд.,-М.:НИЦ ИНФРА-М,2023-174с-(ВО)</t>
  </si>
  <si>
    <t>ПРОФЕССИОГРАММА СОЦИАЛЬНОГО РАБОТНИКА, ИЗД.2</t>
  </si>
  <si>
    <t>978-5-16-012108-6</t>
  </si>
  <si>
    <t>39.03.02, 39.04.02</t>
  </si>
  <si>
    <t>Рекомендовано в качестве учебника для студентов высших учебных заведений, обучающихся по направлению подготовки 39.03.02 «Социальная работа» (квалификация (степень) «бакалавр»)</t>
  </si>
  <si>
    <t>675298.02.01</t>
  </si>
  <si>
    <t>Профессиология: психологический контент: Уч.пос. / Э.Ф.Зеер - М.:НИЦ ИНФРА-М,2020 - 194 с.(ВО)(П)</t>
  </si>
  <si>
    <t>ПРОФЕССИОЛОГИЯ: ПСИХОЛОГИЧЕСКИЙ КОНТЕНТ</t>
  </si>
  <si>
    <t>Зеер Э.Ф., Сыманюк Э.Э.</t>
  </si>
  <si>
    <t>978-5-16-014407-8</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</si>
  <si>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и направлений 44.04.00 «Образование и педагогические науки» (квалификация (степень) «магистр») (протокол № 12 от 24.06.2019)</t>
  </si>
  <si>
    <t>413050.07.01</t>
  </si>
  <si>
    <t>Профессиональная ориентация лиц с учетом ограниченных возможностей здоровья: уч.пос. / Е.М.Старобина и др., - 2-е изд.-М.:Форум, НИЦ ИНФРА-М,2019.-352</t>
  </si>
  <si>
    <t>ПРОФЕССИОНАЛЬНАЯ ОРИЕНТАЦИЯ ЛИЦ С УЧЕТОМ ОГРАНИЧЕННЫХ ВОЗМОЖНОСТЕЙ ЗДОРОВЬЯ, ИЗД.2</t>
  </si>
  <si>
    <t>Старобина Е. М., Гордиевская Е. О., Кузьмина И. Е.</t>
  </si>
  <si>
    <t>978-5-00091-138-9</t>
  </si>
  <si>
    <t>37.03.01, 44.03.02, 44.03.03, 44.04.03</t>
  </si>
  <si>
    <t>Федеральный научный центр реабилитации инвалидов им. Г.А. Альбрехта</t>
  </si>
  <si>
    <t>698270.05.01</t>
  </si>
  <si>
    <t>Профессиональная речь: культ., публичная, деловая: Уч. / А.К.Михальская -М.:НИЦ ИНФРА-М,2024-359с(п)</t>
  </si>
  <si>
    <t>ПРОФЕССИОНАЛЬНАЯ РЕЧЬ: КУЛЬТУРНАЯ, ПУБЛИЧНАЯ, ДЕЛОВАЯ</t>
  </si>
  <si>
    <t>978-5-16-014642-3</t>
  </si>
  <si>
    <t>Рекомендовано Учебно-методическим советом СПО в качестве учебника для студентов учебных заведений, реализующих программу среднего профессионального образования по укрупненным группам специальностей 38.02.00 «Экономика и управление», 40.02.00 «Юриспруденция», 42.02.00 «Средства массовой информации», 43.02.00 «Сервис и туризм», 44.02.00 «Образование и педагогические науки»</t>
  </si>
  <si>
    <t>674712.02.01</t>
  </si>
  <si>
    <t>Профессиональная самоидентификация личности: Моногр. / А.Г.Наймушина-М.:НИЦ ИНФРА-М,2020-76с(О)</t>
  </si>
  <si>
    <t>ПРОФЕССИОНАЛЬНАЯ САМОИДЕНТИФИКАЦИЯ ЛИЧНОСТИ</t>
  </si>
  <si>
    <t>Наймушина А.Г., Моложавенко В.Л.</t>
  </si>
  <si>
    <t>978-5-16-013655-4</t>
  </si>
  <si>
    <t>21.03.01, 21.04.01, 21.05.05, 21.05.06, 37.04.01, 37.05.02, 38.04.03, 39.04.01, 44.04.01, 44.04.02, 44.04.04</t>
  </si>
  <si>
    <t>Тюменский индустриальный университет</t>
  </si>
  <si>
    <t>215300.07.01</t>
  </si>
  <si>
    <t>Процесс формирования научного знания..: Моногр./В.И.Кондауров-М.:НИЦ ИНФРА-М,2024-128(Науч.мысль)(о)</t>
  </si>
  <si>
    <t>ПРОЦЕСС ФОРМИРОВАНИЯ НАУЧНОГО ЗНАНИЯ (ОНТОЛОГИЧЕСКИЙ, ГНОСЕОЛОГИЧЕСКИЙ И ЛОГИЧЕСКИЙ АСПЕКТЫ)</t>
  </si>
  <si>
    <t>Кондауров В. И.</t>
  </si>
  <si>
    <t>978-5-16-006902-9</t>
  </si>
  <si>
    <t>01.04.01, 01.04.03, 02.04.01, 07.04.01, 14.04.02, 38.04.08, 42.04.03, 44.04.02, 44.04.04, 46.04.02, 47.03.01, 47.04.01, 51.03.03</t>
  </si>
  <si>
    <t>148900.04.01</t>
  </si>
  <si>
    <t>Психодиагностика ребенка: Уч. / В.Г.Каменская и др.-М.:НИЦ ИНФРА-М,2018.-400 с-(ВО: Бакалавриат)(П)</t>
  </si>
  <si>
    <t>ПСИХОДИАГНОСТИКА РЕБЕНКА</t>
  </si>
  <si>
    <t>Каменская В. Г., Томанов Л. В., Драганова О. А.</t>
  </si>
  <si>
    <t>978-5-16-013454-3</t>
  </si>
  <si>
    <t>37.03.01, 37.04.01, 44.03.01, 44.03.02, 44.03.03, 44.03.04, 44.03.05, 44.04.02, 44.05.01</t>
  </si>
  <si>
    <t>Допущено Учебно-методическим ¶объединением по направлениям педагогического образования в качестве учебника для студентов высших учебных заведений, обучающихся по направлению подготовки 44.03.01 «Педагогическое образование»</t>
  </si>
  <si>
    <t>725292.01.01</t>
  </si>
  <si>
    <t>Психолингвистика для дефектологов: Уч.пос. / О.Г.Ивановская-М.:НИЦ ИНФРА-М,2024.-279 с.(ВО: Бакалавр.)(п)</t>
  </si>
  <si>
    <t>ПСИХОЛИНГВИСТИКА ДЛЯ ДЕФЕКТОЛОГОВ</t>
  </si>
  <si>
    <t>Ивановская О.Г., Шулекина Ю.А.</t>
  </si>
  <si>
    <t>978-5-16-017371-9</t>
  </si>
  <si>
    <t>44.03.03, 45.03.03</t>
  </si>
  <si>
    <t>Ленинградский государственный университет им. А.С. Пушкина</t>
  </si>
  <si>
    <t>639924.07.01</t>
  </si>
  <si>
    <t>Психологические типы: Моногр. / С.Ю.Поройков - 2 изд. - М.:НИЦ ИНФРА-М,2024 - 306 с.-(Науч.мысль)(П)</t>
  </si>
  <si>
    <t>ПСИХОЛОГИЧЕСКИЕ ТИПЫ, ИЗД.2</t>
  </si>
  <si>
    <t>978-5-16-012255-7</t>
  </si>
  <si>
    <t>37.03.01, 37.05.01</t>
  </si>
  <si>
    <t>300200.06.01</t>
  </si>
  <si>
    <t>Психологические типы: Монография / С.Ю.Поройков - М.:НИЦ ИНФРА-М,2022 - 262 с.-(Науч.мысль)(п)</t>
  </si>
  <si>
    <t>ПСИХОЛОГИЧЕСКИЕ ТИПЫ</t>
  </si>
  <si>
    <t>978-5-16-010153-8</t>
  </si>
  <si>
    <t>698472.07.01</t>
  </si>
  <si>
    <t>Психологический профайлинг. Практикум: Уч.пос. / Т.В.Мальцева-М.:ИЦ РИОР, НИЦ ИНФРА-М,2024-95с(ВО)(О)</t>
  </si>
  <si>
    <t>ПСИХОЛОГИЧЕСКИЙ ПРОФАЙЛИНГ</t>
  </si>
  <si>
    <t>Мальцева Т.В., Петров В.Е.</t>
  </si>
  <si>
    <t>978-5-369-01856-9</t>
  </si>
  <si>
    <t>40.03.01, 40.04.01, 40.05.01, 40.05.02, 40.05.03, 40.05.04</t>
  </si>
  <si>
    <t>Академия управления Министерства внутренних дел Российской Федерации</t>
  </si>
  <si>
    <t>666975.06.01</t>
  </si>
  <si>
    <t>Психологическое консульт. личности...: Уч.пос./Т.В.Мальцева -М.:ИЦ РИОР,НИЦ ИНФРА-М,2024-136с.(ВО)(О)</t>
  </si>
  <si>
    <t>ПСИХОЛОГИЧЕСКОЕ КОНСУЛЬТИРОВАНИЕ ЛИЧНОСТИ В ПРОЦЕССЕ ПРОФЕССИОНАЛИЗАЦИИ</t>
  </si>
  <si>
    <t>Мальцева Т.В., Реуцкая И.Е., Петров В.Е.</t>
  </si>
  <si>
    <t>978-5-369-01836-1</t>
  </si>
  <si>
    <t>37.05.02, 44.05.01</t>
  </si>
  <si>
    <t>665058.05.01</t>
  </si>
  <si>
    <t>Психология в медицине: Уч.пос. / Г.С.Абрамова - 2 изд. - М.:НИЦ ИНФРА-М,2024 - 273 с(ВО: Спец.)(П)</t>
  </si>
  <si>
    <t>ПСИХОЛОГИЯ В МЕДИЦИНЕ, ИЗД.2</t>
  </si>
  <si>
    <t>Абрамова Г.С., Юдчиц Ю.А.</t>
  </si>
  <si>
    <t>978-5-16-013836-7</t>
  </si>
  <si>
    <t>31.02.01, 31.05.01, 31.05.02, 34.03.01, 37.05.01</t>
  </si>
  <si>
    <t>Рекомендовано в качестве учебного пособия для студентов высших учебных заведений, обучающихся по направлениям подготовки 31.05.01 «Лечебное дело» (квалификация «врач общей практики»), 31.05.02 «Педиатрия» (квалификация  «врач-педиатр общей практики»), 37.05.01 «Клиническая психология» (квалификация «клинический психолог»)</t>
  </si>
  <si>
    <t>363400.08.01</t>
  </si>
  <si>
    <t>Психология воспитания стрес. поведения: Уч.пос./ Н.П.Фетискин-М.:Форум, НИЦ ИНФРА-М,2024-240с(ВО)(о)</t>
  </si>
  <si>
    <t>ПСИХОЛОГИЯ ВОСПИТАНИЯ СТРЕССОСОВЛАДАЮЩЕГО ПОВЕДЕНИЯ</t>
  </si>
  <si>
    <t>978-5-00091-483-0</t>
  </si>
  <si>
    <t>Рекомендовано в качестве учебного пособия для студентов высших учебных заведений, обучающихся по направлениям подготовки 37.03.01 «Психология», 37.03.02 «Конфликтология» (квалификация (степень) «бакалавр»)</t>
  </si>
  <si>
    <t>443050.10.01</t>
  </si>
  <si>
    <t>Психология высших достижений личности..: Моногр. / Т.Ф.Базылевич-М.:НИЦ ИНФРА-М,2024-330 с.(Науч.мысль)(О)</t>
  </si>
  <si>
    <t>ПСИХОЛОГИЯ ВЫСШИХ ДОСТИЖЕНИЙ ЛИЧНОСТИ (ПСИХОАКМЕОЛОГИЯ)</t>
  </si>
  <si>
    <t>978-5-16-006851-0</t>
  </si>
  <si>
    <t>37.03.01, 37.03.02, 37.04.01, 37.04.02, 37.05.01, 37.05.02, 44.03.01, 44.03.05</t>
  </si>
  <si>
    <t>283000.02.01</t>
  </si>
  <si>
    <t>Психология гуманитарного познания: монография / И.Е.Лукьянова-М.:НИЦ ИНФРА-М,2018.-186 с..-(Науч.мысль)(П 7БЦ)</t>
  </si>
  <si>
    <t>ПСИХОЛОГИЯ ГУМАНИТАРНОГО ПОЗНАНИЯ</t>
  </si>
  <si>
    <t>Лукьянова И.Е., Сигида Е.А.</t>
  </si>
  <si>
    <t>978-5-16-011808-6</t>
  </si>
  <si>
    <t>183300.11.01</t>
  </si>
  <si>
    <t>Психология зависимостей (аддиктология): Уч.пос. / Б.Р.Мандель, - 2 изд.-М.:НИЦ ИНФРА-М,2024.-334 с.(ВО)(п)</t>
  </si>
  <si>
    <t>ПСИХОЛОГИЯ ЗАВИСИМОСТЕЙ (АДДИКТОЛОГИЯ), ИЗД.2</t>
  </si>
  <si>
    <t>978-5-16-019884-2</t>
  </si>
  <si>
    <t>37.03.01, 44.03.02, 44.03.03, 44.04.02, 44.04.03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</si>
  <si>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37.00.00 «Психологические науки», 44.00.00 «Образование и педагогические науки» (квалификация (степень) «бакалавр») и 31.05.00 «Клиническая медицина» (протокол № 19 от 09.12.2019)</t>
  </si>
  <si>
    <t>183300.06.01</t>
  </si>
  <si>
    <t>Психология зависимостей (аддиктология):Уч.пос. / Б.Р.Мандель-М.:Вузовский учебник, НИЦ ИНФРА-М,2019.-320 с.(п)</t>
  </si>
  <si>
    <t>ПСИХОЛОГИЯ ЗАВИСИМОСТЕЙ (АДДИКТОЛОГИЯ)</t>
  </si>
  <si>
    <t>978-5-9558-0406-4</t>
  </si>
  <si>
    <t>085750.09.01</t>
  </si>
  <si>
    <t>Психология и педагогика: уч. / А.И.Кравченко-М.:НИЦ ИНФРА-М,2018.-352 с..-(ВО: Бакалавриат)(П 7БЦ)</t>
  </si>
  <si>
    <t>ПСИХОЛОГИЯ И ПЕДАГОГИКА</t>
  </si>
  <si>
    <t>Кравченко А. И.</t>
  </si>
  <si>
    <t>978-5-16-006870-1</t>
  </si>
  <si>
    <t>Допущено УМО по классическому университетскому образованию в качестве учебника для студентов высших учебных  заведений, обучающихся по направлению 040200 Социология</t>
  </si>
  <si>
    <t>405850.07.01</t>
  </si>
  <si>
    <t>Психология и педагогика: Уч.пос. / О.В.Пастюк - М.:НИЦ ИНФРА-М,2023. - 160 с.-(ВО: Бакалавриат)(П)</t>
  </si>
  <si>
    <t>Пастюк О.В.</t>
  </si>
  <si>
    <t>978-5-16-006300-3</t>
  </si>
  <si>
    <t>00.03.15, 00.05.15, 38.03.02, 38.03.06, 39.03.02, 42.03.01</t>
  </si>
  <si>
    <t>Рекомендовано в качестве учебного пособия для студентов высших учебных заведений, обучающихся по направлениям подготовки 38.03.02 «Менеджмент», 42.03.01 «Реклама и связи с общественностью», 38.03.06 «Торговое дело» (квалификация (степень) «бакалавр»)</t>
  </si>
  <si>
    <t>Северо-Восточный государственный университет</t>
  </si>
  <si>
    <t>471900.06.01</t>
  </si>
  <si>
    <t>Психология и психопат. познав. деят.: Уч.пос. /Г.Н.Носачев -М.: Форум, НИЦ ИНФРА-М, 2023-240с(ВО)(О)</t>
  </si>
  <si>
    <t>ПСИХОЛОГИЯ И ПСИХОПАТОЛОГИЯ ПОЗНАВАТЕЛЬНОЙ ДЕЯТЕЛЬНОСТИ (ОСНОВНЫЕ СИМПТОМЫ И СИНДРОМЫ)</t>
  </si>
  <si>
    <t>Носачев Г.Н., Носачев И.Г.</t>
  </si>
  <si>
    <t>978-5-00091-609-4</t>
  </si>
  <si>
    <t>31.05.01, 37.03.01, 37.05.01</t>
  </si>
  <si>
    <t>Рекомендовано в качестве учебного пособия для студентов высших учебных заведений, обучающихся по направлению подготовки «Психология»</t>
  </si>
  <si>
    <t>Национальный медицинский исследовательский центр психиатрии и наркологии им. В.П. Сербского</t>
  </si>
  <si>
    <t>487500.05.01</t>
  </si>
  <si>
    <t>Психология личности и деятел. педагога: Уч.пос. / С.В.Духновский-М.:ИЦ РИОР,НИЦ ИНФРА-М,2024-300(ВО)</t>
  </si>
  <si>
    <t>ПСИХОЛОГИЯ ЛИЧНОСТИ И ДЕЯТЕЛЬНОСТИ ПЕДАГОГА</t>
  </si>
  <si>
    <t>Духновский С.В.</t>
  </si>
  <si>
    <t>978-5-369-01537-7</t>
  </si>
  <si>
    <t>37.03.01, 44.04.02</t>
  </si>
  <si>
    <t>271900.08.01</t>
  </si>
  <si>
    <t>Психология личности: Уч. / П.С. Гуревич - 2 изд. - М.: НИЦ ИНФРА-М, 2023-479с.(ВО)(п)</t>
  </si>
  <si>
    <t>ПСИХОЛОГИЯ ЛИЧНОСТИ, ИЗД.2</t>
  </si>
  <si>
    <t>978-5-16-009672-8</t>
  </si>
  <si>
    <t>482350.08.01</t>
  </si>
  <si>
    <t>Психология массового поведения: Монография / В.А.Соснин - М.:Форум, НИЦ ИНФРА-М,2024 - 159 с.(о)</t>
  </si>
  <si>
    <t>ПСИХОЛОГИЯ МАССОВОГО ПОВЕДЕНИЯ</t>
  </si>
  <si>
    <t>Соснин В.А.</t>
  </si>
  <si>
    <t>978-5-00091-003-0</t>
  </si>
  <si>
    <t>651246.04.01</t>
  </si>
  <si>
    <t>Психология массовых коммуникаций: Уч. / А.М.Руденко-М.:ИЦ РИОР, НИЦ ИНФРА-М,2023-303 с.(ВО)(п)</t>
  </si>
  <si>
    <t>ПСИХОЛОГИЯ МАССОВЫХ КОММУНИКАЦИЙ</t>
  </si>
  <si>
    <t>Руденко А.М., Литвинова А.В.</t>
  </si>
  <si>
    <t>978-5-369-01663-3</t>
  </si>
  <si>
    <t>41.03.06, 42.03.01</t>
  </si>
  <si>
    <t>639469.06.01</t>
  </si>
  <si>
    <t>Психология межнациональных отношений: Курс лекций / В.Г.Крысько - 2 изд. - М.:Вуз.уч.,НИЦ ИНФРА-М,2024-228 с.(П)</t>
  </si>
  <si>
    <t>ПСИХОЛОГИЯ МЕЖНАЦИОНАЛЬНЫХ ОТНОШЕНИЙ, ИЗД.2</t>
  </si>
  <si>
    <t>978-5-9558-0525-2</t>
  </si>
  <si>
    <t>37.03.01, 37.04.01, 41.04.01, 51.03.02</t>
  </si>
  <si>
    <t>705966.08.01</t>
  </si>
  <si>
    <t>Психология общения. Практ.по психолог.: Уч.пос. / Н.С.Ефимова-М.:ИД ФОРУМ, НИЦ ИНФРА-М,2024-192с(ВО)</t>
  </si>
  <si>
    <t>ПСИХОЛОГИЯ ОБЩЕНИЯ. ПРАКТИКУМ ПО ПСИХОЛОГИИ</t>
  </si>
  <si>
    <t>978-5-8199-0957-7</t>
  </si>
  <si>
    <t>08.02.14, 09.02.06, 12.02.09, 15.02.10, 27.02.06, 43.02.15, 43.02.16, 43.02.17</t>
  </si>
  <si>
    <t>Рекомендовано Учебно-методическим советом ВО в качестве учебного пособия для студентов высших учебных заведений, обучающихся по укрупненной группе специальностей 44.03.00 «Образование и педагогические науки» (квалификация (степень) «бакалавр»)</t>
  </si>
  <si>
    <t>071870.19.01</t>
  </si>
  <si>
    <t>Психология общения. Практ.по психолог.: Уч.пос./Н.С.Ефимова-М.:ИД ФОРУМ,НИЦ ИНФРА-М,2024-192с(СПО)(П)</t>
  </si>
  <si>
    <t>978-5-8199-0693-4</t>
  </si>
  <si>
    <t>00.01.04, 00.02.15, 05.02.02, 09.02.06, 12.02.09, 12.02.10, 15.02.10, 26.02.04, 29.02.11, 31.02.01</t>
  </si>
  <si>
    <t>Допущено Министерством образования РФ в качестве учебного пособия для студентов  учреждений среднего профессионального образования, обучающихся по группе специальностей "Образование и педагогические науки"</t>
  </si>
  <si>
    <t>664241.06.01</t>
  </si>
  <si>
    <t>Психология отношений на раб.: Практ.пос. / И.А.Шувалова - М.:ИЦ РИОР, НИЦ ИНФРА-М,2023-176с(Наука и прак.)(П)</t>
  </si>
  <si>
    <t>ПСИХОЛОГИЯ ОТНОШЕНИЙ НА РАБОТЕ</t>
  </si>
  <si>
    <t>Шувалова И.А.</t>
  </si>
  <si>
    <t>978-5-369-01738-8</t>
  </si>
  <si>
    <t>35.02.12, 37.03.01, 37.05.01, 38.02.03, 38.02.07, 43.02.16, 43.03.02, 43.03.03, 44.03.01, 44.03.05</t>
  </si>
  <si>
    <t>Академия труда и социальных отношений</t>
  </si>
  <si>
    <t>639844.05.01</t>
  </si>
  <si>
    <t>Психология познавательных процессов: Уч.пос./ З.А.Киреева-М.:ИЦ РИОР, НИЦ ИНФРА-М,2023.-137 с.(О)</t>
  </si>
  <si>
    <t>ПСИХОЛОГИЯ ПОЗНАВАТЕЛЬНЫХ ПРОЦЕССОВ</t>
  </si>
  <si>
    <t>Киреева З.А.</t>
  </si>
  <si>
    <t>978-5-369-01613-8</t>
  </si>
  <si>
    <t>37.03.01, 44.03.04, 44.03.05</t>
  </si>
  <si>
    <t>275000.07.01</t>
  </si>
  <si>
    <t>Психология потребител. поведения...: Уч.пос. / Н.В.Антонова - М.: НИЦ ИНФРА-М, 2024 - 325с.(ВО)(П)</t>
  </si>
  <si>
    <t>ПСИХОЛОГИЯ ПОТРЕБИТЕЛЬСКОГО ПОВЕДЕНИЯ, РЕКЛАМЫ И PR</t>
  </si>
  <si>
    <t>Антонова Н.В., Патоша О.И.</t>
  </si>
  <si>
    <t>978-5-16-011795-9</t>
  </si>
  <si>
    <t>37.03.01, 37.04.01, 38.03.02, 38.04.02, 42.03.01, 42.04.01</t>
  </si>
  <si>
    <t>Рекомендовано в качестве учебного пособия для студентов высших учебных заведений, обучающихся по направлениям подготовки 37.04.01 «Психология», 42.04.01 «Реклама и связи с общественностью», 38.04.02 «Менеджмент» (квалификация (степень) «магистр»)</t>
  </si>
  <si>
    <t>657341.04.01</t>
  </si>
  <si>
    <t>Психология развития и возрастная психология: Уч.пос. / Е.Е.Сапогова - 2 изд. - М.:НИЦ ИНФРА-М,2024 - 638 с.(П)</t>
  </si>
  <si>
    <t>ПСИХОЛОГИЯ РАЗВИТИЯ И ВОЗРАСТНАЯ ПСИХОЛОГИЯ, ИЗД.2</t>
  </si>
  <si>
    <t>978-5-16-018823-2</t>
  </si>
  <si>
    <t>37.03.01, 37.05.01, 37.05.02, 44.03.01, 44.03.05, 44.04.01</t>
  </si>
  <si>
    <t>473650.03.01</t>
  </si>
  <si>
    <t>Психология разрушения: Моногр. / Т.И.Чиркова - М.: Вуз. уч.: НИЦ ИНФРА-М,2023-192с.(Науч. книга) (о)</t>
  </si>
  <si>
    <t>ПСИХОЛОГИЯ РАЗРУШЕНИЯ</t>
  </si>
  <si>
    <t>Чиркова Т.И.</t>
  </si>
  <si>
    <t>978-5-9558-0385-2</t>
  </si>
  <si>
    <t>727258.01.01</t>
  </si>
  <si>
    <t>Психология разрушения: Уч.пос. / Т.И.Чиркова - М.:НИЦ ИНФРА-М,2021 - 230 с.(ВО: Магистратура)(П)</t>
  </si>
  <si>
    <t>978-5-16-016099-3</t>
  </si>
  <si>
    <t>37.04.01, 37.05.01, 37.05.02, 47.04.01</t>
  </si>
  <si>
    <t>742521.04.01</t>
  </si>
  <si>
    <t>Психология региональных выборов: Монография / И.В.Грошев. - М.:НИЦ ИНФРА-М,2024. - 251 с.(Науч.мысль)(О)</t>
  </si>
  <si>
    <t>ПСИХОЛОГИЯ РЕГИОНАЛЬНЫХ ВЫБОРОВ: КАНДИДАТЫ И ИЗБИРАТЕЛИ</t>
  </si>
  <si>
    <t>Грошев И.В., Горбенко А.В., Давыдова Ю.А.</t>
  </si>
  <si>
    <t>978-5-16-016484-7</t>
  </si>
  <si>
    <t>39.04.01, 39.06.01, 41.04.04, 41.06.01</t>
  </si>
  <si>
    <t>083840.11.01</t>
  </si>
  <si>
    <t>Психология рекламы: Уч. пос./ М.И. Тимофеев. - 2 изд. - М.: РИОР: ИНФРА-М, 2024. - 224 с. (ВПО)(о к/ф)</t>
  </si>
  <si>
    <t>ПСИХОЛОГИЯ РЕКЛАМЫ, ИЗД.2</t>
  </si>
  <si>
    <t>Тимофеев М. И.</t>
  </si>
  <si>
    <t>978-5-369-01373-1</t>
  </si>
  <si>
    <t>38.03.02, 38.03.06, 38.04.02, 41.03.06, 42.03.01, 42.03.05, 42.04.01, 42.04.05</t>
  </si>
  <si>
    <t>Национальный институт бизнеса</t>
  </si>
  <si>
    <t>239100.08.01</t>
  </si>
  <si>
    <t>Психология рекламы: Уч.пос. / Е.В.Маркова - М.:Форум, НИЦ ИНФРА-М,2024 - 152 с.(О)</t>
  </si>
  <si>
    <t>ПСИХОЛОГИЯ РЕКЛАМЫ</t>
  </si>
  <si>
    <t>Маркова Е.В.</t>
  </si>
  <si>
    <t>978-5-91134-815-1</t>
  </si>
  <si>
    <t>37.03.01, 38.03.01, 38.03.02, 42.03.01, 42.03.04, 42.03.05</t>
  </si>
  <si>
    <t>Рекомендовано в качестве учебного пособия для студентов высших учебных заведений, обучающихся по специальностям «Организационная психология и менеджмент», «Консультационная психология», «Социальная и политическая психология»</t>
  </si>
  <si>
    <t>795915.02.01</t>
  </si>
  <si>
    <t>Психология русского народа: Моногр. / Д.А.Севостьянов-М.:НИЦ ИНФРА-М,2024.-356 с.(Науч.мысль)(п)</t>
  </si>
  <si>
    <t>ПСИХОЛОГИЯ РУССКОГО НАРОДА</t>
  </si>
  <si>
    <t>Севостьянов Д.А.</t>
  </si>
  <si>
    <t>978-5-16-018304-6</t>
  </si>
  <si>
    <t>37.04.01, 37.04.02, 37.06.01, 39.04.01, 39.04.03, 39.06.01, 39.07.01, 41.04.02, 41.04.04, 41.04.05, 41.04.06, 41.06.01, 41.07.01, 47.04.01, 47.06.01, 47.07.01</t>
  </si>
  <si>
    <t>Новосибирский государственный медицинский университет</t>
  </si>
  <si>
    <t>444950.11.01</t>
  </si>
  <si>
    <t>Психология самопрезентации личности: Моногр. / О.А.Пикулева - М.:НИЦ ИНФРА-М,2024 - 320 с.(Науч.мысль)(П)</t>
  </si>
  <si>
    <t>ПСИХОЛОГИЯ САМОПРЕЗЕНТАЦИИ ЛИЧНОСТИ</t>
  </si>
  <si>
    <t>Пикулева О.А.</t>
  </si>
  <si>
    <t>978-5-16-006926-5</t>
  </si>
  <si>
    <t>37.03.01, 38.03.01, 38.03.03, 38.04.03, 41.03.06, 42.03.01, 42.04.01</t>
  </si>
  <si>
    <t>117970.16.01</t>
  </si>
  <si>
    <t>Психология современного терроризма: Уч.пос. / В.А.Соснин - 2 изд.-М.:Форум, НИЦ ИНФРА-М,2024 - 160 с.(ВО)(О)</t>
  </si>
  <si>
    <t>ПСИХОЛОГИЯ СОВРЕМЕННОГО ТЕРРОРИЗМА, ИЗД.2</t>
  </si>
  <si>
    <t>Соснин В. А.</t>
  </si>
  <si>
    <t>978-5-00091-523-3</t>
  </si>
  <si>
    <t>37.03.01, 37.03.02, 37.05.01, 37.05.02, 39.03.01, 39.03.02, 39.03.03</t>
  </si>
  <si>
    <t>Рекомендовано в качестве учебного пособия для студентов высших учебных заведений, обучающихся по направлениям подготовки 37.03.01 «Психология», 39.03.01 «Социология» (квалификация (степень) «бакалавр»)</t>
  </si>
  <si>
    <t>185050.11.01</t>
  </si>
  <si>
    <t>Психология суицидального терроризма...:Моногр./ Под ред. Журавлева А.Л.-М.:Форум, НИЦ ИНФРА-М,2023-256с.(О)</t>
  </si>
  <si>
    <t>ПСИХОЛОГИЯ СУИЦИДАЛЬНОГО ТЕРРОРИЗМА: ИСТОРИЧЕСКИЕ АНАЛОГИИ И ГЕОПОЛИТИЧЕСКИЕ ТЕНДЕНЦИИ В XXI ВЕКЕ</t>
  </si>
  <si>
    <t>Соснин В. А., Журавлев А. Л.</t>
  </si>
  <si>
    <t>978-5-00091-643-8</t>
  </si>
  <si>
    <t>642517.06.01</t>
  </si>
  <si>
    <t>Психология творческого мышления: Уч.пос. / М.М.Кашапов-М.:НИЦ ИНФРА-М,2023.-436 с.(ВО)(п)</t>
  </si>
  <si>
    <t>ПСИХОЛОГИЯ ТВОРЧЕСКОГО МЫШЛЕНИЯ</t>
  </si>
  <si>
    <t>Кашапов М.М.</t>
  </si>
  <si>
    <t>978-5-16-019262-8</t>
  </si>
  <si>
    <t>37.03.01, 37.04.01, 44.03.01, 44.03.02, 44.03.04, 44.03.05, 44.04.01, 44.04.02, 44.04.04</t>
  </si>
  <si>
    <t>Рекомендовано в качестве учебного пособия для студентов высших учебных заведений, обучающихся по направлениям подготовки 37.03.01 «Психология» (квалификация (степень) «бакалавр»), 44.04.04 «Профессиональное обучение» (квалификация (степень) «магистр»)</t>
  </si>
  <si>
    <t>185800.11.01</t>
  </si>
  <si>
    <t>Психология эмоции. Классические..: Уч.пос. / Ю.Е.Кравченко-М.:Форум, НИЦ ИНФРА-М,2024.-544 с.(ВО)(п)</t>
  </si>
  <si>
    <t>ПСИХОЛОГИЯ ЭМОЦИИ. КЛАССИЧЕСКИЕ И СОВРЕМЕННЫЕ ТЕОРИИ И ИССЛЕДОВАНИЯ</t>
  </si>
  <si>
    <t>Кравченко Ю.Е.</t>
  </si>
  <si>
    <t>978-5-00091-799-2</t>
  </si>
  <si>
    <t>37.03.01, 37.03.02, 37.04.01, 37.04.02, 37.05.01, 37.05.02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</si>
  <si>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и направлений 37.00.00 «Психологические науки» (квалификация (степень) «бакалавр») (протокол № 5 от 11.03.2019)</t>
  </si>
  <si>
    <t>407300.10.01</t>
  </si>
  <si>
    <t>Психология. Курс лекций: Уч.пос. / В.Г.Крысько - М.:Вуз. уч.,НИЦ ИНФРА-М,2023 - 251 с.(П)</t>
  </si>
  <si>
    <t>ПСИХОЛОГИЯ. КУРС ЛЕКЦИЙ</t>
  </si>
  <si>
    <t>978-5-9558-0249-7</t>
  </si>
  <si>
    <t>719348.03.01</t>
  </si>
  <si>
    <t>Психология. Курс лекций: Уч.пос. / В.Г.Крысько-М.:Вуз. уч., НИЦ ИНФРА-М,2023-251 с.(СПО)(П)</t>
  </si>
  <si>
    <t>978-5-9558-0638-9</t>
  </si>
  <si>
    <t>270400.08.01</t>
  </si>
  <si>
    <t>Психология: Уч. / П.С. Гуревич. - 2 изд. - М.: НИЦ ИНФРА-М, 2023. - 332 с.(ВО:Бакалавр.)(п)</t>
  </si>
  <si>
    <t>ПСИХОЛОГИЯ, ИЗД.2</t>
  </si>
  <si>
    <t>978-5-16-009651-3</t>
  </si>
  <si>
    <t>31.02.01, 37.03.01, 37.03.02, 37.05.01, 37.05.02</t>
  </si>
  <si>
    <t>071690.08.01</t>
  </si>
  <si>
    <t>Психология: Шпаргалка - 2 изд. - М.:ИЦ РИОР - 161 с.-(Шпаргалка [отрывная])(О)</t>
  </si>
  <si>
    <t>978-5-369-01598-8</t>
  </si>
  <si>
    <t>37.03.01, 44.03.04, 44.03.05, 46.03.01</t>
  </si>
  <si>
    <t>642420.09.01</t>
  </si>
  <si>
    <t>Психофизиология проф. деят.: умственный труд: Уч.пос. / Е.В.Сухова - М.:НИЦ ИНФРА-М,2024-155 с.(ВО)(О)</t>
  </si>
  <si>
    <t>ПСИХОФИЗИОЛОГИЯ ПРОФЕССИОНАЛЬНОЙ ДЕЯТЕЛЬНОСТИ: УМСТВЕННЫЙ ТРУД</t>
  </si>
  <si>
    <t>Сухова Е.В.</t>
  </si>
  <si>
    <t>978-5-16-012389-9</t>
  </si>
  <si>
    <t>38.03.03</t>
  </si>
  <si>
    <t>Рекомендовано в качестве учебного пособия для студентов высших учебных заведений, обучающихся по направлениям подготовки 38.03.03 «Управление персоналом», 38.03.02 «Менеджмент» (квалификация (степень) «бакалавр»)</t>
  </si>
  <si>
    <t>Медицинский университет "Реавиз"</t>
  </si>
  <si>
    <t>346500.11.01</t>
  </si>
  <si>
    <t>Психофизиология: общая, возрастная, дифференц...: Уч. / Т.М.Марютина - М.:НИЦ ИНФРА-М,2024 - 436 с.(ВО)(п)</t>
  </si>
  <si>
    <t>ПСИХОФИЗИОЛОГИЯ: ОБЩАЯ, ВОЗРАСТНАЯ, ДИФФЕРЕНЦИАЛЬНАЯ, КЛИНИЧЕСКАЯ</t>
  </si>
  <si>
    <t>Марютина Т.М.</t>
  </si>
  <si>
    <t>978-5-16-018805-8</t>
  </si>
  <si>
    <t>Рекомендовано в качестве учебника для студентов высших учебных заведений, обучающихся по направлению подготовки 37.03.01 «Психология» (квалификация (степень) «бакалавр»)</t>
  </si>
  <si>
    <t>464650.10.01</t>
  </si>
  <si>
    <t>Психофизиология: Уч.пос. / С.Г.Кривощеков - М.:НИЦ ИНФРА-М,2023 - 249 с.-(ВО)(П)</t>
  </si>
  <si>
    <t>ПСИХОФИЗИОЛОГИЯ</t>
  </si>
  <si>
    <t>С.Г.Кривощеков, Р.И.Айзман</t>
  </si>
  <si>
    <t>978-5-16-009649-0</t>
  </si>
  <si>
    <t>31.05.01, 31.05.02, 32.04.01, 32.05.01, 33.05.01, 34.03.01, 37.03.01, 37.03.02, 37.05.01, 37.05.02, 44.03.01, 44.04.01</t>
  </si>
  <si>
    <t>Рекомендовано Региональным центром Сибирского федерального округа по развитию преподавания безопасности жизнедеятельности в качестве учебного пособия для студентов педагогического направления 44.03.01, 44.04.01, профилей «Безопасность жизнедеятельности», «Биология» и «Психология»</t>
  </si>
  <si>
    <t>227900.13.01</t>
  </si>
  <si>
    <t>Психофизиология: Уч.пос. / Ю.Н.Самко - М.:НИЦ ИНФРА-М,2024 - 155 с.(ВО)(П)</t>
  </si>
  <si>
    <t>Самко Ю.Н.</t>
  </si>
  <si>
    <t>978-5-16-011402-6</t>
  </si>
  <si>
    <t>06.03.01, 06.04.01, 30.05.02, 31.02.01, 31.05.01, 31.05.02, 37.03.01, 37.04.01, 37.05.01</t>
  </si>
  <si>
    <t>Рекомендовано в качестве учебного пособия для студентов высших учебных заведений, обучающихся по направлениям подготовки 31.05.01 «Лечебное дело» (квалификация «врач общей практики»), 06.03.01 «Биология», 37.03.01 «Психология» (квалификация (степень) «бакалавр»)</t>
  </si>
  <si>
    <t>Российский национальный исследовательский медицинский университет им. Н.И. Пирогова</t>
  </si>
  <si>
    <t>680118.02.01</t>
  </si>
  <si>
    <t>Пути развития словацкой литер. XIX -начала XXI века: Моногр./А.Г.Машкова-М.:НИЦ ИНФРА-М,2019-289с(П)</t>
  </si>
  <si>
    <t>ПУТИ РАЗВИТИЯ СЛОВАЦКОЙ ЛИТЕРАТУРЫ XIX - НАЧАЛА XXI ВЕКА</t>
  </si>
  <si>
    <t>978-5-16-013769-8</t>
  </si>
  <si>
    <t>44.03.05, 51.03.01, 51.03.06, 52.03.04, 52.03.05</t>
  </si>
  <si>
    <t>475500.08.01</t>
  </si>
  <si>
    <t>Равноправие и равенство: Монография / В.Н.Кудрявцев - М.:Юр.Норма, НИЦ ИНФРА-М,2022-184с.(П)</t>
  </si>
  <si>
    <t>РАВНОПРАВИЕ И РАВЕНСТВО</t>
  </si>
  <si>
    <t>Кудрявцев В.Н.</t>
  </si>
  <si>
    <t>978-5-91768-705-6</t>
  </si>
  <si>
    <t>39.04.01</t>
  </si>
  <si>
    <t>674506.02.01</t>
  </si>
  <si>
    <t>Развитие аутопсихологической компетентности....: Моногр./ О.В.Полетаева.-М.:ИНФРА-М, 2024-124с(О)</t>
  </si>
  <si>
    <t>РАЗВИТИЕ АУТОПСИХОЛОГИЧЕСКОЙ КОМПЕТЕНТНОСТИ В ПРОФЕССИОНАЛЬНОЙ ПОДГОТОВКЕ СПЕЦИАЛИСТОВ С  УЧЕТОМ СПЕЦИФИКИ РАБОТЫ В АРКТИКЕ</t>
  </si>
  <si>
    <t>Полетаева О.В.</t>
  </si>
  <si>
    <t>Научная мысль (Тюм. индустр. ун-т)</t>
  </si>
  <si>
    <t>978-5-16-013677-6</t>
  </si>
  <si>
    <t>23.03.01, 37.03.01, 44.03.01, 44.03.02, 44.04.01, 44.04.02</t>
  </si>
  <si>
    <t>Тюменский индустриальный университет, ф-л Ноябрьский институт нефти и газа</t>
  </si>
  <si>
    <t>408750.10.01</t>
  </si>
  <si>
    <t>Развитие художественных умений и навыков у молодежи...: Моногр. / М.В.Кернерман-М.:НИЦ ИНФРА-М,2024.-116 с.(О)</t>
  </si>
  <si>
    <t>РАЗВИТИЕ ХУДОЖЕСТВЕННЫХ УМЕНИЙ И НАВЫКОВ У МОЛОДЕЖИ В УЧРЕЖДЕНИЯХ КУЛЬТУРЫ</t>
  </si>
  <si>
    <t>Кернерман М. В.</t>
  </si>
  <si>
    <t>978-5-16-006409-3</t>
  </si>
  <si>
    <t>39.03.03, 39.04.03, 44.04.01, 51.03.03</t>
  </si>
  <si>
    <t>331800.06.01</t>
  </si>
  <si>
    <t>Разговорный китайский: практикум по устной речи: Уч.пос. / Я.Лисинь -М.:НИЦ ИНФРА-М,2023-115с(ВО)(О)</t>
  </si>
  <si>
    <t>РАЗГОВОРНЫЙ КИТАЙСКИЙ: ПРАКТИКУМ ПО УСТНОЙ РЕЧИ</t>
  </si>
  <si>
    <t>Лисинь Я., Цайхун Ч., Комендровская Ю.Г. и др.</t>
  </si>
  <si>
    <t>978-5-16-018665-8</t>
  </si>
  <si>
    <t>00.03.02, 00.05.02, 45.03.02, 45.03.03, 45.03.04, 45.05.01</t>
  </si>
  <si>
    <t>Байкальский государственный университет</t>
  </si>
  <si>
    <t>673761.04.01</t>
  </si>
  <si>
    <t>Размышления об эмпатическом познании: Моногр. / С.В.Бочкарёва - М.:НИЦ ИНФРА-М,2024 - 149 с.(Науч.мысль)(О)</t>
  </si>
  <si>
    <t>РАЗМЫШЛЕНИЯ ОБ ЭМПАТИЧЕСКОМ ПОЗНАНИИ</t>
  </si>
  <si>
    <t>Бочкарёва С.В.</t>
  </si>
  <si>
    <t>978-5-16-013590-8</t>
  </si>
  <si>
    <t>Гимназия № 19 г. Курган</t>
  </si>
  <si>
    <t>667702.02.01</t>
  </si>
  <si>
    <t>Рациональность как фундамент.характерист.соц.сис./ Д.О.Труфанов-М.:НИЦ ИНФРА-М,СФУ,2020-123с.(О)</t>
  </si>
  <si>
    <t>РАЦИОНАЛЬНОСТЬ КАК ФУНДАМЕНТАЛЬНАЯ ХАРАКТЕРИСТИКА СОЦИАЛЬНЫХ СИСТЕМ. ПОСТНЕКЛАССИЧЕСКИЙ (УНИВЕРСУМНЫЙ) ПОДХОД</t>
  </si>
  <si>
    <t>Труфанов Д.О.</t>
  </si>
  <si>
    <t>978-5-16-013254-9</t>
  </si>
  <si>
    <t>186950.12.01</t>
  </si>
  <si>
    <t>Реализация молодежной политики в РФ: Моногр./ А.Я.Кибанов.-М.:НИЦ ИНФРА-М,2024-149с(Науч.мысль)(о)</t>
  </si>
  <si>
    <t>РЕАЛИЗАЦИЯ МОЛОДЕЖНОЙ ПОЛИТИКИ В РОССИЙСКОЙ ФЕДЕРАЦИИ</t>
  </si>
  <si>
    <t>Кибанов А.Я., Ловчева М.В., Лукьянова Т.В.</t>
  </si>
  <si>
    <t>978-5-16-005615-9</t>
  </si>
  <si>
    <t>38.03.01, 38.03.03, 38.04.03, 39.03.03, 41.03.06</t>
  </si>
  <si>
    <t>713312.05.01</t>
  </si>
  <si>
    <t>Реализация нац. интересов РФ в сотруд. со странами АТР: Моногр. / Под ред. Перской В.В.-М.:НИЦ ИНФРА-М,2024-187с.(О)</t>
  </si>
  <si>
    <t>РЕАЛИЗАЦИЯ НАЦИОНАЛЬНЫХ ИНТЕРЕСОВ РОССИЙСКОЙ ФЕДЕРАЦИИ В СОТРУДНИЧЕСТВЕ СО СТРАНАМИ АТР</t>
  </si>
  <si>
    <t>Абрамов В.Л., Алексеев П.В., Кузнецов А.В. и др.</t>
  </si>
  <si>
    <t>978-5-16-015462-6</t>
  </si>
  <si>
    <t>38.03.01, 38.04.01, 38.06.01, 41.06.01</t>
  </si>
  <si>
    <t>657635.03.01</t>
  </si>
  <si>
    <t>Революция 1917 года в России и литература США: Моногр. / Б.А.Гиленсон-М.:НИЦ ИНФРА-М,2023-172с.(О)</t>
  </si>
  <si>
    <t>РЕВОЛЮЦИЯ 1917 ГОДА В РОССИИ И ЛИТЕРАТУРА США: ПРОБЛЕМЫ, УРОКИ, ИТОГИ</t>
  </si>
  <si>
    <t>978-5-16-012842-9</t>
  </si>
  <si>
    <t>484700.04.01</t>
  </si>
  <si>
    <t>Регионы Вост. и Запад.Сибири..: Моногр. /В.Г.Немировский - 2 изд. -М.: НИЦ ИНФРА-М, 2019 -165с.(о)</t>
  </si>
  <si>
    <t>РЕГИОНЫ ВОСТОЧНОЙ И ЗАПАДНОЙ СИБИРИ В КОНТЕКСТЕ СОЦИОКУЛЬТУРНЫХ ТРАНСФОРМАЦИЙ И МОДЕРНИЗАЦИОННЫХ ПРОЦЕССОВ В РОССИИ, ИЗД.2</t>
  </si>
  <si>
    <t>Немировский В.Г.</t>
  </si>
  <si>
    <t>978-5-16-011727-0</t>
  </si>
  <si>
    <t>38.03.04, 38.04.04, 39.03.01, 39.04.01, 41.03.02, 41.04.02, 44.03.01, 44.03.05</t>
  </si>
  <si>
    <t>655196.03.01</t>
  </si>
  <si>
    <t>Режи Дебре и Латиноамериканская революция XX в.: Моногр. / М.С.Колесов-М.:НИЦ ИНФРА-М,2022.-257 с.(П)</t>
  </si>
  <si>
    <t>РЕЖИ ДЕБРЕ И ЛАТИНОАМЕРИКАНСКАЯ РЕВОЛЮЦИЯ XX ВЕКА</t>
  </si>
  <si>
    <t>978-5-16-012798-9</t>
  </si>
  <si>
    <t>719157.01.01</t>
  </si>
  <si>
    <t>Режим запрещения ядерного оружия: пробл. формир..: Моногр./ Т.В.Вербицкая-М.:НИЦ ИНФРА-М,2020-164с.(Науч. мысль)(О)</t>
  </si>
  <si>
    <t>РЕЖИМ ЗАПРЕЩЕНИЯ ЯДЕРНОГО ОРУЖИЯ: ПРОБЛЕМЫ ФОРМИРОВАНИЯ И ВОЗМОЖНЫЕ ПУТИ ИХ РЕШЕНИЯ</t>
  </si>
  <si>
    <t>Вербицкая Т.В.</t>
  </si>
  <si>
    <t>978-5-16-015717-7</t>
  </si>
  <si>
    <t>109455.09.01</t>
  </si>
  <si>
    <t>Религиоведение: Уч. / О.Г.Данильян, - 2-е изд.-М.:НИЦ ИНФРА-М,2024.-335 с..-(ВО: Бакалавриат)(п)</t>
  </si>
  <si>
    <t>РЕЛИГИОВЕДЕНИЕ, ИЗД.2</t>
  </si>
  <si>
    <t>978-5-16-010564-2</t>
  </si>
  <si>
    <t>37.03.01, 44.03.05, 47.03.01, 47.03.03</t>
  </si>
  <si>
    <t>345900.08.01</t>
  </si>
  <si>
    <t>Религиоведение: Уч.пос. / К.А.Соловьев-М.:НИЦ ИНФРА-М,2024.-370 с.(ВО)(п)</t>
  </si>
  <si>
    <t>РЕЛИГИОВЕДЕНИЕ</t>
  </si>
  <si>
    <t>СоловьевК.А.</t>
  </si>
  <si>
    <t>978-5-16-019149-2</t>
  </si>
  <si>
    <t>44.03.05, 47.03.03</t>
  </si>
  <si>
    <t>Рекомендовано в качестве учебного пособия для студентов высших учебных заведений, обучающихся по направлениям подготовки 47.03.03 «Религиоведение», 50.03.03 «История искусств» (квалификация (степень) "бакалавр")</t>
  </si>
  <si>
    <t>375700.06.01</t>
  </si>
  <si>
    <t>Религия в условиях совр. глобализац. процесса: Моногр. / Ю.А.Бабинов - М.:Вуз.уч.,НИЦ ИНФРА-М,2024-262с.(О)</t>
  </si>
  <si>
    <t>РЕЛИГИЯ В УСЛОВИЯХ СОВРЕМЕННОГО ГЛОБАЛИЗАЦИОННОГО ПРОЦЕССА</t>
  </si>
  <si>
    <t>Бабинов Ю.А.</t>
  </si>
  <si>
    <t>978-5-9558-0448-4</t>
  </si>
  <si>
    <t>37.03.01, 44.03.05, 47.03.01, 47.03.03, 47.04.01, 47.04.03, 48.03.01, 51.03.01, 51.04.01</t>
  </si>
  <si>
    <t>675150.01.01</t>
  </si>
  <si>
    <t>Религия и мифология Древней Греции: Уч.пос. / Ю.Б.Циркин-М.:НИЦ ИНФРА-М,2024.-188 с..-(ВО)(п)</t>
  </si>
  <si>
    <t>РЕЛИГИЯ И МИФОЛОГИЯ ДРЕВНЕЙ ГРЕЦИИ</t>
  </si>
  <si>
    <t>978-5-16-016675-9</t>
  </si>
  <si>
    <t>45.03.01, 46.03.01, 46.04.01, 51.03.02</t>
  </si>
  <si>
    <t>682628.06.01</t>
  </si>
  <si>
    <t>Репрезентация образа матери в рос. ментальности: Моногр. / Н.Н.Васягина - М.:НИЦ ИНФРА-М,2024 - 181с(О)</t>
  </si>
  <si>
    <t>РЕПРЕЗЕНТАЦИЯ ОБРАЗА МАТЕРИ В РОССИЙСКОЙ МЕНТАЛЬНОСТИ</t>
  </si>
  <si>
    <t>Васягина Н.Н., Газизова Ю.С.</t>
  </si>
  <si>
    <t>978-5-16-014062-9</t>
  </si>
  <si>
    <t>37.03.01, 44.03.02, 44.03.05, 44.04.02</t>
  </si>
  <si>
    <t>675030.03.01</t>
  </si>
  <si>
    <t>Реферирование и аннотир. науч. текстов на англ. яз.: Уч.пос./З.В.Маньковская-М:НИЦ ИНФРА-М,2023-144с</t>
  </si>
  <si>
    <t>РЕФЕРИРОВАНИЕ И АННОТИРОВАНИЕ НАУЧНЫХ ТЕКСТОВ НА АНГЛИЙСКОМ ЯЗЫКЕ</t>
  </si>
  <si>
    <t>978-5-16-014472-6</t>
  </si>
  <si>
    <t>00.03.02, 00.04.16, 00.05.02, 44.04.01, 45.03.02, 45.04.02, 51.02.03, 51.03.06</t>
  </si>
  <si>
    <t>Рекомендовано Учебно-методическим советом ВО в качестве учебного пособия для студентов высших учебных заведений, обучающихся по техническим направлениям подготовки бакалавриата</t>
  </si>
  <si>
    <t>729914.01.01</t>
  </si>
  <si>
    <t>Реферирование иноязычных текстов: Уч.пос. / Л.В.Дудник - М.:НИЦ ИНФРА-М,2022 - 153 с.(ВО: Магистр.)(П)</t>
  </si>
  <si>
    <t>РЕФЕРИРОВАНИЕ ИНОЯЗЫЧНЫХ ТЕКСТОВ</t>
  </si>
  <si>
    <t>Дудник Л.В.</t>
  </si>
  <si>
    <t>978-5-16-016011-5</t>
  </si>
  <si>
    <t>27.04.05, 38.04.01, 38.04.02, 38.04.03, 38.04.04, 39.04.01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</si>
  <si>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экономическим направлениям подготовки (квалификация (степень) «магистр») (протокол № 6 от 16.06.2021)</t>
  </si>
  <si>
    <t>799031.01.01</t>
  </si>
  <si>
    <t>Реформаторы, нонконформисты, диссиденты в США (XVII - XIX вв.): Моногр. / Т.В.Алентьева-М.:НИЦ ИНФРА-М,2024-412 с.(п)</t>
  </si>
  <si>
    <t>РЕФОРМАТОРЫ, НОНКОНФОРМИСТЫ, ДИССИДЕНТЫ В США (XVII - XIX ВВ.)</t>
  </si>
  <si>
    <t>Алентьева Т.В., Филимонова М.А.</t>
  </si>
  <si>
    <t>978-5-16-018262-9</t>
  </si>
  <si>
    <t>41.04.01, 41.04.04, 41.06.01, 41.07.01</t>
  </si>
  <si>
    <t>108100.09.01</t>
  </si>
  <si>
    <t>Реформы в Рос. XVIII-XX вв.: опыт..: Уч.пос. / Под ред. Пляйса Я.А.- 3 изд.-М.:Вуз. уч.,НИЦ ИНФРА-М,2023.-512с(П)</t>
  </si>
  <si>
    <t>РЕФОРМЫ В РОССИИ XVIII-XX ВВ.: ОПЫТ И УРОКИ, ИЗД.3</t>
  </si>
  <si>
    <t>Анохина С.Л., Нестеренко Е.И., Петухова Н.Е. и др.</t>
  </si>
  <si>
    <t>978-5-9558-0339-5</t>
  </si>
  <si>
    <t>Рекомендовано УМО по образованию в области финансов, учета и мировой экономики в качестве учебного пособия для студентов, обучающихся по спец. "Финансы и кредит", "Бух. учет, анализ и аудит", "Мировая экономика", "Налоги и налогообложение"</t>
  </si>
  <si>
    <t>0314</t>
  </si>
  <si>
    <t>003000.25.01</t>
  </si>
  <si>
    <t>Речевая коммуникация: Уч. / О.Я.Гойхман - 3 изд. - М.:НИЦ ИНФРА-М,2023 - 286 с.(ВО)(П)</t>
  </si>
  <si>
    <t>РЕЧЕВАЯ КОММУНИКАЦИЯ, ИЗД.3</t>
  </si>
  <si>
    <t>Гойхман О.Я., Надеина Т.М.</t>
  </si>
  <si>
    <t>978-5-16-018500-2</t>
  </si>
  <si>
    <t>43.03.01, 43.04.01</t>
  </si>
  <si>
    <t>Допущено Мин. обр. и науки РФ в качестве учебника для студентов высших учебных заведений, обучающихся по специальностям сервиса</t>
  </si>
  <si>
    <t>758050.03.01</t>
  </si>
  <si>
    <t>Речевая коммуникация: Уч. / О.Я.Гойхман - 3 изд. - М.:НИЦ ИНФРА-М,2024 - 286 с.(СПО)(П)</t>
  </si>
  <si>
    <t>978-5-16-016969-9</t>
  </si>
  <si>
    <t>00.02.15, 00.02.34</t>
  </si>
  <si>
    <t>Рекомендовано Межрегиональным учебно-методическим советом профессионального образования в качестве учебника для учебных заведений, реализующих основную профессиональную программу среднего профессионального образования (протокол № 12 от 14.12.2020)</t>
  </si>
  <si>
    <t>0321</t>
  </si>
  <si>
    <t>654703.04.01</t>
  </si>
  <si>
    <t>Решение деловых проблем на англ. языке: Уч.пос. / Л.В.Дудник - М.:НИЦ ИНФРА-М,2022 - 127 с.-(ВО)(П)</t>
  </si>
  <si>
    <t>РЕШЕНИЕ ДЕЛОВЫХ ПРОБЛЕМ НА АНГЛИЙСКОМ ЯЗЫКЕ (КОММУНИКАТИВНЫЙ АСПЕКТ)</t>
  </si>
  <si>
    <t>Дудник Л.В., Путиловская Т.С.</t>
  </si>
  <si>
    <t>978-5-16-013733-9</t>
  </si>
  <si>
    <t>00.03.02, 00.05.02, 27.04.05, 38.04.01, 38.04.02, 38.04.03, 38.04.04, 38.04.05, 38.04.08, 38.04.09, 39.04.01, 43.04.03</t>
  </si>
  <si>
    <t>Рекомендовано Учебно-методическим советом ВО в качестве учебного пособия для студентов высших учебных заведений, обучающихся по направлениям подготовки 38.04.01 «Экономика», 38.04.02 «Менеджмент», 38.04.03 «Управление персоналом», 38.04.04 «Государственное и муниципальное управление» (квалификация (степень) «магистр»)</t>
  </si>
  <si>
    <t>732494.01.01</t>
  </si>
  <si>
    <t>Риски социальной адаптации военнослужащих, уволенных в запас... / П.В.Разов.-М.:ИНФРА-М,2020-254с(О)</t>
  </si>
  <si>
    <t>РИСКИ СОЦИАЛЬНОЙ АДАПТАЦИИ ВОЕННОСЛУЖАЩИХ, УВОЛЕННЫХ В ЗАПАС, К УСЛОВИЯМ ГРАЖДАНСКОЙ ЖИЗНИ В РОССИИ И СТРАТЕГИИ ИХ ПРЕОДОЛЕНИЯ</t>
  </si>
  <si>
    <t>Разов П.В., Евенко С.Л.</t>
  </si>
  <si>
    <t>978-5-16-016044-3</t>
  </si>
  <si>
    <t>39.03.01, 39.04.01, 39.06.01</t>
  </si>
  <si>
    <t>189750.07.01</t>
  </si>
  <si>
    <t>Рисунок в Московской архитектурной школе... : Уч.пос. / З.В. Жилкина -М.:КУРС:НИЦ ИНФРА-М,2023-112с.(О)</t>
  </si>
  <si>
    <t>РИСУНОК В МОСКОВСКОЙ АРХИТЕКТУРНОЙ ШКОЛЕ. ИСТОРИЯ. ТЕОРИЯ. ПРАКТИКА</t>
  </si>
  <si>
    <t>Жилкина З.В.</t>
  </si>
  <si>
    <t>978-5-905554-18-6</t>
  </si>
  <si>
    <t>07.03.01, 07.04.01, 44.03.01, 50.03.03, 50.04.03, 51.03.02, 54.03.03, 54.04.02</t>
  </si>
  <si>
    <t>Допущено УМО по образованию в области архитектуры Министерства образования и науки РФ в качестве учебного пособия для студентов вузов, обучающихся по направлению "Архитектура"</t>
  </si>
  <si>
    <t>074240.20.01</t>
  </si>
  <si>
    <t>Рисунок: Уч.пос. / В.И.Жабинский - М.:НИЦ ИНФРА-М,2023 - 256 с.-(СПО)(П)</t>
  </si>
  <si>
    <t>РИСУНОК</t>
  </si>
  <si>
    <t>Жабинский В.И., Винтова А.В.</t>
  </si>
  <si>
    <t>978-5-16-002693-0</t>
  </si>
  <si>
    <t>07.02.01, 08.01.28, 29.01.04, 43.02.02, 43.02.04, 53.02.09, 54.01.08, 54.01.12, 54.01.16, 54.01.20, 54.02.01, 54.02.02, 54.02.04, 54.02.05, 54.02.06, 54.02.07, 54.02.08</t>
  </si>
  <si>
    <t>Допущено Государственным комитетом Российской Федерации по строительству в качестве учебного пособия для студентов средних специальных заведений, обучающихся по специальности 07.02.01 «Архитектура»</t>
  </si>
  <si>
    <t>653171.07.01</t>
  </si>
  <si>
    <t>Риторика: Уч. / А.К.Михальская - М.:НИЦ ИНФРА-М,2024.-480 с..-(ВО)(п)</t>
  </si>
  <si>
    <t>РИТОРИКА</t>
  </si>
  <si>
    <t>978-5-16-019373-1</t>
  </si>
  <si>
    <t>37.03.01, 38.03.02, 38.03.03, 38.03.04, 40.03.01, 42.03.01, 42.03.02, 42.03.04, 42.03.05, 44.03.01, 44.03.05, 45.03.01, 45.03.02</t>
  </si>
  <si>
    <t>Рекомендовано Учебно-методическим советом ВО в качестве учебника для студентов высших учебных заведений, обучающихся по направлениям подготовки 45.03.01 «Филолгия», 42.03.02 «Журналистика», 38.03.02 «Менеджмент» (квалификация (степень) «бакалавр»)</t>
  </si>
  <si>
    <t>707434.02.01</t>
  </si>
  <si>
    <t>Роль и место общей полиц. в сис. местного упр...: Моногр. / И.А.Коновалов-М.:НИЦ ИНФРА-М,2022.-311 с.(О)</t>
  </si>
  <si>
    <t>РОЛЬ И МЕСТО ОБЩЕЙ ПОЛИЦИИ В СИСТЕМЕ МЕСТНОГО УПРАВЛЕНИЯ СИБИРИ (XVIII - НАЧАЛО ХХ ВЕКА)</t>
  </si>
  <si>
    <t>Коновалов И.А.</t>
  </si>
  <si>
    <t>978-5-16-016223-2</t>
  </si>
  <si>
    <t>38.03.04, 38.04.04, 40.03.01, 40.04.01, 40.06.01</t>
  </si>
  <si>
    <t>694972.02.01</t>
  </si>
  <si>
    <t>Роль общественного мнения в «джексоновскую эпоху» в США: Моногр. / Т.В.Алентьева - 2 изд.-М.:НИЦ ИНФРА-М,2023-356с(П)</t>
  </si>
  <si>
    <t>РОЛЬ ОБЩЕСТВЕННОГО МНЕНИЯ В «ДЖЕКСОНОВСКУЮ ЭПОХУ» В США, ИЗД.2</t>
  </si>
  <si>
    <t>978-5-16-014690-4</t>
  </si>
  <si>
    <t>41.04.01, 41.04.04, 41.06.01, 46.04.01, 46.06.01</t>
  </si>
  <si>
    <t>147950.14.01</t>
  </si>
  <si>
    <t>Роль отца в психическом разв. ребенка: Моногр. /О.Г.Калина - 2 изд.-М.:Форум,НИЦ ИНФРА-М,2024-112с(О)</t>
  </si>
  <si>
    <t>РОЛЬ ОТЦА В ПСИХИЧЕСКОМ РАЗВИТИИ РЕБЕНКА, ИЗД.2</t>
  </si>
  <si>
    <t>Калина О. Г., Холмогорова А. Б.</t>
  </si>
  <si>
    <t>978-5-00091-522-6</t>
  </si>
  <si>
    <t>44.03.01, 44.03.02, 44.03.05, 44.04.01, 44.04.02</t>
  </si>
  <si>
    <t>684336.04.01</t>
  </si>
  <si>
    <t>Роман Г.Д. Гребенщикова «Чураевы»  социокульт.: Моногр./ С.С.Царегородцева-М.:НИЦ ИНФРА-М,2024-127 с.(О)</t>
  </si>
  <si>
    <t>РОМАН Г.Д. ГРЕБЕНЩИКОВА «ЧУРАЕВЫ»  СОЦИОКУЛЬТУРНОМ КОНТЕКСТЕ ЭПОХИ</t>
  </si>
  <si>
    <t>Царегородцева С.С.</t>
  </si>
  <si>
    <t>978-5-16-016031-3</t>
  </si>
  <si>
    <t>42.03.02, 45.03.01, 45.04.01</t>
  </si>
  <si>
    <t>632777.07.01</t>
  </si>
  <si>
    <t>Роман Э.Хемингуэя "По ком звонит колокол".: Моногр. / Б.А.Гиленсон - М.:НИЦ ИНФРА-М,2024 - 195 с.(О)</t>
  </si>
  <si>
    <t>РОМАН Э.ХЕМИНГУЭЯ "ПО КОМ ЗВОНИТ КОЛОКОЛ". ИСТОРИЯ И СОВРЕМЕННОСТЬ</t>
  </si>
  <si>
    <t>978-5-16-016884-5</t>
  </si>
  <si>
    <t>45.00.00, 41.03.06, 42.03.02, 42.03.03, 42.03.04, 45.03.01, 52.03.04, 52.03.05</t>
  </si>
  <si>
    <t>652104.05.01</t>
  </si>
  <si>
    <t>Романские языки в Тропической Африке и ..: Моногр. / О.А.Сапрыкина - М.:НИЦ ИНФРА-М,2024 - 106 с.(О)</t>
  </si>
  <si>
    <t>РОМАНСКИЕ ЯЗЫКИ В ТРОПИЧЕСКОЙ АФРИКЕ И ПОСТКОЛОНИАЛЬНЫЙ ХУДОЖЕСТВЕННЫЙ ДИСКУРС</t>
  </si>
  <si>
    <t>Сапрыкина О.А., Найденова Н.С.</t>
  </si>
  <si>
    <t>978-5-16-012638-8</t>
  </si>
  <si>
    <t>45.03.03</t>
  </si>
  <si>
    <t>767186.01.01</t>
  </si>
  <si>
    <t>Российская геральдика: Уч.пос. / А.А.Корников-М.:НИЦ ИНФРА-М,2022.-212 с.:цв.ил.-(ВО: Бакалавриат)(п)</t>
  </si>
  <si>
    <t>РОССИЙСКАЯ ГЕРАЛЬДИКА</t>
  </si>
  <si>
    <t>Корников А.А.</t>
  </si>
  <si>
    <t>978-5-16-017419-8</t>
  </si>
  <si>
    <t>46.03.01, 46.03.02, 46.04.01</t>
  </si>
  <si>
    <t>717861.05.01</t>
  </si>
  <si>
    <t>Российская журналистика сегодня...: Моногр. / Под ред. Фотиевой И.В. - М.:НИЦ ИНФРА-М,2024 - 256 с..(О)</t>
  </si>
  <si>
    <t>РОССИЙСКАЯ ЖУРНАЛИСТИКА СЕГОДНЯ: СОЦИАЛЬНАЯ МИССИЯ И ПРОФЕССИОНАЛЬНОЕ МАСТЕРСТВО</t>
  </si>
  <si>
    <t>Фотиева И.В., Семилет Т.А., Лукашевич Е.В. и др.</t>
  </si>
  <si>
    <t>978-5-16-015637-8</t>
  </si>
  <si>
    <t>41.00.00, 41.03.06, 42.03.02, 42.03.04, 42.04.02, 42.04.04, 42.04.05</t>
  </si>
  <si>
    <t>Алтайский государственный университет</t>
  </si>
  <si>
    <t>470650.05.01</t>
  </si>
  <si>
    <t>Российский консерватизм и народное представительство...: Моногр./К.Н.Тарасов-М:ИНФРА-М,2021-124с.(о)</t>
  </si>
  <si>
    <t>РОССИЙСКИЙ КОНСЕРВАТИЗМ И НАРОДНОЕ ПРЕДСТАВИТЕЛЬСТВО (ПРОБЛЕМА СОЗДАНИЯ В РОССИИ ИНСТИТУТОВ НАРОДНОГО ПРЕДСТАВИТЕЛЬСТВА В ИДЕОЛОГИИ ОТЕЧЕСТВЕННОГО КОНСЕРВАТИЗМА ПЕРВОЙ ТРЕТИ ХХ  ВЕКА: ЭВОЛЮЦИЯ ПОЛИТИЧЕСКОЙ ПРОГРАММЫ, 1900-1933 ГГ.)</t>
  </si>
  <si>
    <t>Тарасов К. Н.</t>
  </si>
  <si>
    <t>978-5-16-010024-1</t>
  </si>
  <si>
    <t>40.03.01, 41.04.04, 44.03.01, 44.03.05, 46.03.01, 46.04.01</t>
  </si>
  <si>
    <t>Вятский государственный университет</t>
  </si>
  <si>
    <t>633836.04.01</t>
  </si>
  <si>
    <t>Российский политический консалтинг..: Моногр. / Л.В.Федорченко-М.:НИЦ ИНФРА-М,2022-166с.(Науч.мысль) (П)</t>
  </si>
  <si>
    <t>РОССИЙСКИЙ ПОЛИТИЧЕСКИЙ КОНСАЛТИНГ: КОНСЬЮМЕРИЗАЦИЯ И ТЕХНОЛОГИИ</t>
  </si>
  <si>
    <t>Федорченко Л.В., Федорченко С.Н.</t>
  </si>
  <si>
    <t>978-5-16-012082-9</t>
  </si>
  <si>
    <t>41.00.00, 41.03.04</t>
  </si>
  <si>
    <t>653231.06.01</t>
  </si>
  <si>
    <t>Россия - Запад: цивилизационная война: Моногр. / В.Э.Багдасарян - М.:Форум, НИЦ ИНФРА-М,2024 - 410 с.(п)</t>
  </si>
  <si>
    <t>РОССИЯ - ЗАПАД: ЦИВИЛИЗАЦИОННАЯ ВОЙНА</t>
  </si>
  <si>
    <t>978-5-00091-442-7</t>
  </si>
  <si>
    <t>751025.01.01</t>
  </si>
  <si>
    <t>Россия в глобальной политике: Уч. / Н.Р.Балынская.-М.:НИЦ ИНФРА-М,2023.-254 с..-(ВО: Бакалавр.)(П)</t>
  </si>
  <si>
    <t>РОССИЯ В ГЛОБАЛЬНОЙ ПОЛИТИКЕ</t>
  </si>
  <si>
    <t>Балынская Н.Р., Гафурова В.М., Зиновьева Е.Г. и др.</t>
  </si>
  <si>
    <t>978-5-16-017026-8</t>
  </si>
  <si>
    <t>38.05.01, 39.03.01, 41.03.01, 41.03.04, 41.03.05, 41.03.06</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</si>
  <si>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экономическим, социальным и политическим направлениям подготовки (квалификация (степень) «бакалавр») (протокол № 9 от 17.11.2022)</t>
  </si>
  <si>
    <t>Южно-Уральский государственный институт искусств имени П.И. Чайковского</t>
  </si>
  <si>
    <t>321300.03.01</t>
  </si>
  <si>
    <t>Россия и Европа: взгляд на культур. и полит..: Моногр. / Н.Я.Данилевский - М: НИЦ ИНФРА-М, 2022 - 431с.(П)</t>
  </si>
  <si>
    <t>РОССИЯ И ЕВРОПА: ВЗГЛЯД НА КУЛЬТУРНЫЕ И ПОЛИТИЧЕСКИЕ ОТНОШЕНИЯ СЛАВЯНСКОГО МИРА К ГЕРМАНО-РОМАНСКОМУ</t>
  </si>
  <si>
    <t>Данилевский Н.Я.</t>
  </si>
  <si>
    <t>978-5-16-010447-8</t>
  </si>
  <si>
    <t>745138.04.01</t>
  </si>
  <si>
    <t>Россия и мир в Первой мировой войне...: Моногр. / С.А.Агуреев - М.:НИЦ ИНФРА-М,2024 - 331 с.(Науч.мысль)(О)</t>
  </si>
  <si>
    <t>РОССИЯ И МИР В ПЕРВОЙ МИРОВОЙ ВОЙНЕ: ДИПЛОМАТИЯ, ВОЙНА НА ЗАПАДНОМ ФРОНТЕ, КУЛЬТУРА И МОДЕРНИЗАЦИЯ ВОЕННОЙ ТЕХНИКИ</t>
  </si>
  <si>
    <t>Агуреев С.А., Болтаевский А.А., Прядко И.П.</t>
  </si>
  <si>
    <t>978-5-16-016592-9</t>
  </si>
  <si>
    <t>742683.03.01</t>
  </si>
  <si>
    <t>Русофобия: история одной химеры: Моногр. / П.Л.Карабущенко-М.:НИЦ ИНФРА-М,2024.-327 с.(Науч.мысль)(О)</t>
  </si>
  <si>
    <t>РУСОФОБИЯ: ИСТОРИЯ ОДНОЙ ХИМЕРЫ</t>
  </si>
  <si>
    <t>978-5-16-016637-7</t>
  </si>
  <si>
    <t>41.00.00, 41.03.06, 41.04.04, 41.04.05, 41.06.01</t>
  </si>
  <si>
    <t>157500.14.01</t>
  </si>
  <si>
    <t>Русская и зарубежная литература: Уч. / Под ред. Сигова В.К. - М.:НИЦ ИНФРА-М,2024 - 512 с.(СПО)(п)</t>
  </si>
  <si>
    <t>РУССКАЯ И ЗАРУБЕЖНАЯ ЛИТЕРАТУРА</t>
  </si>
  <si>
    <t>Сигов В.К.</t>
  </si>
  <si>
    <t>978-5-16-010582-6</t>
  </si>
  <si>
    <t>450150.08.01</t>
  </si>
  <si>
    <t>Русская классика в мировом литерат. процессе...: Уч. пос./Б.А.Гиленсон-Вуз. уч.:ИНФРА-М,2024-395с.(о)</t>
  </si>
  <si>
    <t>РУССКАЯ КЛАССИКА В МИРОВОМ ЛИТЕРАТУРНОМ ПРОЦЕССЕ: ХIX - НАЧАЛО ХХ ВЕКОВ</t>
  </si>
  <si>
    <t>Гиленсон Б. А.</t>
  </si>
  <si>
    <t>978-5-9558-0333-3</t>
  </si>
  <si>
    <t>41.03.06, 42.03.02, 42.03.03, 42.04.02, 45.03.01, 45.04.02, 50.04.01, 50.04.03, 51.04.01</t>
  </si>
  <si>
    <t>668758.04.01</t>
  </si>
  <si>
    <t>Русская литератур. критика на рубеже ХХ-ХХI в.: Моногр./ Ю.А.Говорухина-М.:НИЦ ИНФРА-М, СФУ,2023.-358 с(П)</t>
  </si>
  <si>
    <t>РУССКАЯ ЛИТЕРАТУРНАЯ КРИТИКА НА РУБЕЖЕ ХХ-ХХI ВЕКОВ</t>
  </si>
  <si>
    <t>Говорухина Ю.А.</t>
  </si>
  <si>
    <t>978-5-16-016578-3</t>
  </si>
  <si>
    <t>667639.06.01</t>
  </si>
  <si>
    <t>Русская музыка с древ.времен до сер.XX в.: Моногр. / В.П.Лозинская - М.:НИЦ ИНФРА-М, СФУ,2024-136с(О)</t>
  </si>
  <si>
    <t>РУССКАЯ МУЗЫКА С ДРЕВНЕЙШИХ ВРЕМЕН ДО СЕРЕДИНЫ XX ВЕКА</t>
  </si>
  <si>
    <t>Лозинская В.П.</t>
  </si>
  <si>
    <t>978-5-16-016220-1</t>
  </si>
  <si>
    <t>44.03.01, 53.04.01, 53.04.02, 53.04.03, 53.04.04, 53.04.06, 53.05.05</t>
  </si>
  <si>
    <t>420200.05.01</t>
  </si>
  <si>
    <t>Русская Православная церковь в России в конце ХХ в.: Моногр. / Л.А.Королева - М.:НИЦ ИНФРА-М,2022 - 223 с(О)</t>
  </si>
  <si>
    <t>РУССКАЯ ПРАВОСЛАВНАЯ ЦЕРКОВЬ В РОССИИ В КОНЦЕ ХХ ВЕКА</t>
  </si>
  <si>
    <t>Королева Л.А., Королев А.А., Мельниченко О.В.</t>
  </si>
  <si>
    <t>978-5-16-006023-1</t>
  </si>
  <si>
    <t>44.03.01, 44.03.05, 46.03.01, 46.04.01, 47.03.03, 47.04.03</t>
  </si>
  <si>
    <t>304300.04.01</t>
  </si>
  <si>
    <t>Русская социология: Уч.пос. / В.В.Афанасьев - М.:НИЦ ИНФРА-М,2022 - 159 с.-(ВО:Бакалавриат)</t>
  </si>
  <si>
    <t>РУССКАЯ СОЦИОЛОГИЯ</t>
  </si>
  <si>
    <t>В.В.Афанасьев</t>
  </si>
  <si>
    <t>978-5-16-010236-8</t>
  </si>
  <si>
    <t>333500.03.01</t>
  </si>
  <si>
    <t>Русская социология: Уч.пос. / В.В.Афанасьев -М.:НИЦ ИНФРА-М,2019.-199 с..-(ВО: Бакалавриат)(О)</t>
  </si>
  <si>
    <t>978-5-16-010645-8</t>
  </si>
  <si>
    <t>295900.08.01</t>
  </si>
  <si>
    <t>Русская цивилизация и фольклор. Мир сказки: Моногр. / А.А.Гагаев - М.:ИЦ РИОР,НИЦ ИНФРА-М,2023-202с(О)</t>
  </si>
  <si>
    <t>РУССКАЯ ЦИВИЛИЗАЦИЯ И ФОЛЬКЛОР. МИР СКАЗКИ</t>
  </si>
  <si>
    <t>978-5-369-01340-3</t>
  </si>
  <si>
    <t>45.03.01, 45.04.01, 46.03.01, 46.04.01</t>
  </si>
  <si>
    <t>155550.03.01</t>
  </si>
  <si>
    <t>Русский мир - 2012: Сб. статей / С.Н.Бабурин - М.:Магистр, НИЦ ИНФРА-М,2015.-432 с.(П)</t>
  </si>
  <si>
    <t>РУССКИЙ МИР - 2012</t>
  </si>
  <si>
    <t>Бабурин С.Н.</t>
  </si>
  <si>
    <t>978-5-9776-0257-0</t>
  </si>
  <si>
    <t>Альманах</t>
  </si>
  <si>
    <t>40.03.01, 41.04.04, 44.03.01, 44.03.05</t>
  </si>
  <si>
    <t>796337.01.01</t>
  </si>
  <si>
    <t>Русский символизм как философия личности: Моногр. / Д.Д.Романов-М.:НИЦ ИНФРА-М,2023.-252 с.(П)</t>
  </si>
  <si>
    <t>РУССКИЙ СИМВОЛИЗМ КАК ФИЛОСОФИЯ ЛИЧНОСТИ. КОНЦЕПТУАЛЬНЫЙ АНАЛИЗ СОЦИАЛЬНОЙ ЭСТЕТИКИ</t>
  </si>
  <si>
    <t>Романов Д.Д.</t>
  </si>
  <si>
    <t>978-5-16-018161-5</t>
  </si>
  <si>
    <t>745706.05.01</t>
  </si>
  <si>
    <t>Русский язык в деловой документации: Уч. / М.В.Марьева - М.:НИЦ ИНФРА-М,2023 - 323 с(ВО: Спец.)(П)</t>
  </si>
  <si>
    <t>РУССКИЙ ЯЗЫК В ДЕЛОВОЙ ДОКУМЕНТАЦИИ</t>
  </si>
  <si>
    <t>Марьева М.В.</t>
  </si>
  <si>
    <t>978-5-16-016549-3</t>
  </si>
  <si>
    <t>38.05.01, 38.05.02, 40.05.01, 40.05.02, 40.05.03, 40.05.04</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</si>
  <si>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укрупненным группам специальностей 40.05.00 «Юриспруденция», 38.05.00 «Экономика и управление»  (протокол № 8 от 22.06.2020)</t>
  </si>
  <si>
    <t>Владимирский государственный университет им. А.Г. и Н.Г. Столетовых, ф-л Муромский институт</t>
  </si>
  <si>
    <t>683405.06.01</t>
  </si>
  <si>
    <t>Русский язык в деловой документации: Уч. / М.В.Марьева - М.:НИЦ ИНФРА-М,2024 - 323 с.-(СПО)(П)</t>
  </si>
  <si>
    <t>978-5-16-014047-6</t>
  </si>
  <si>
    <t>00.02.34, 31.02.01, 40.02.02, 40.02.04</t>
  </si>
  <si>
    <t>Рекомендовано Учебно-методическим советом СПО в качестве учебника для студентов учебных заведений, реализующих программу среднего профессионального образования по специальностям 40.02.01 «Право и организация социального обеспечения», 40.02.02 «Правоохранительная деятельность», 40.02.03 «Право и судебное администрирование»</t>
  </si>
  <si>
    <t>473700.06.01</t>
  </si>
  <si>
    <t>Русский язык в деловой документации: Уч. / М.В.Марьева - М.:НИЦ ИНФРА-М,2024-323 с.(ВО: Бакалавр.)(П)</t>
  </si>
  <si>
    <t>978-5-16-011621-1</t>
  </si>
  <si>
    <t>38.05.02, 40.03.01, 40.05.02</t>
  </si>
  <si>
    <t>Рекомендовано в качестве учебника для студентов высших учебных заведений, обучающихся по направлениям подготовки 38.05.02 «Таможенное дело» (квалификация «специалист таможенного дела»), 40.03.01 «Юриспруденция» (квалификация (степень) «бакалавр»), 40.05.02 «Правоохранительная деятельность» (квалификация «юрист»)</t>
  </si>
  <si>
    <t>673693.03.01</t>
  </si>
  <si>
    <t>Русский язык и культура речи с основами стилистики: Уч.пос./ И.В.Волосков-М.:НИЦ ИНФРА-М,2024-56с(О)</t>
  </si>
  <si>
    <t>РУССКИЙ ЯЗЫК И КУЛЬТУРА РЕЧИ С ОСНОВАМИ СТИЛИСТИКИ</t>
  </si>
  <si>
    <t>978-5-16-019109-6</t>
  </si>
  <si>
    <t>00.03.09, 00.05.09</t>
  </si>
  <si>
    <t>Рекомендовано Учебно-методическим советом ВО в качестве учебного пособия для студентов высших учебных заведений, обучающихся по всем направлениям подготовки бакалавриата</t>
  </si>
  <si>
    <t>685716.01.01</t>
  </si>
  <si>
    <t>Русский язык и культура речи. Практикум: Уч.пос. / Л.Я.Ковадло-М.:НИЦ ИНФРА-М,2023.-630 с.(СПО)(П)</t>
  </si>
  <si>
    <t>РУССКИЙ ЯЗЫК И КУЛЬТУРА РЕЧИ. ПРАКТИКУМ</t>
  </si>
  <si>
    <t>Ковадло Л.Я.</t>
  </si>
  <si>
    <t>978-5-16-015036-9</t>
  </si>
  <si>
    <t>00.02.09, 00.02.34</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</si>
  <si>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основную профессиональную программу среднего профессионального образования (протокол № 6 от 08.06.2022)</t>
  </si>
  <si>
    <t>654515.02.01</t>
  </si>
  <si>
    <t>Русский язык и культура речи. Теория: Уч. / Л.Я.Ковадло-М.:НИЦ ИНФРА-М,2023.- 823 с.(СПО)(П)</t>
  </si>
  <si>
    <t>РУССКИЙ ЯЗЫК И КУЛЬТУРА РЕЧИ. ТЕОРИЯ</t>
  </si>
  <si>
    <t>978-5-16-014980-6</t>
  </si>
  <si>
    <t>Рекомендовано Межрегиональным учебно-методическим советом профессионального образования в качестве учебника для учебных заведений, реализующих основную профессиональную программу среднего профессионального образования (протокол № 6 от 08.06.2022)</t>
  </si>
  <si>
    <t>719923.02.01</t>
  </si>
  <si>
    <t>Русский язык и культура речи: ист...: Уч.пос. / Б.Р.Мандель - М.:Вуз.уч.,НИЦ ИНФРА-М,2023-267 с.(П)</t>
  </si>
  <si>
    <t>РУССКИЙ ЯЗЫК И КУЛЬТУРА РЕЧИ: ИСТОРИЯ, ТЕОРИЯ, ПРАКТИКА</t>
  </si>
  <si>
    <t>978-5-9558-0646-4</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</si>
  <si>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гуманитарным специальностям (протокол № 12 от 24.06.2019)</t>
  </si>
  <si>
    <t>100050.11.01</t>
  </si>
  <si>
    <t>Русский язык и культура речи: история...: Уч. пос. /Б.Р.Мандель - М.: Вуз.уч.,ИНФРА-М,2024-267с.(ВО)(п)</t>
  </si>
  <si>
    <t>978-5-9558-0079-0</t>
  </si>
  <si>
    <t>169750.09.01</t>
  </si>
  <si>
    <t>Русский язык и культура речи: Практ. / Т.В. Губернская - М.:Форум, 2023 - 256 с. (о)</t>
  </si>
  <si>
    <t>РУССКИЙ ЯЗЫК И КУЛЬТУРА РЕЧИ : ПРАКТИКУМ</t>
  </si>
  <si>
    <t>Губернская Т.В.</t>
  </si>
  <si>
    <t>978-5-91134-598-3</t>
  </si>
  <si>
    <t>066400.19.01</t>
  </si>
  <si>
    <t>Русский язык и культура речи: Уч. / Н.В.Кузнецова - 3 изд. - М.:НИЦ ИНФРА-М,2023 - 368 с.-(СПО)(п)</t>
  </si>
  <si>
    <t>РУССКИЙ ЯЗЫК И КУЛЬТУРА РЕЧИ, ИЗД.3</t>
  </si>
  <si>
    <t>Кузнецова Н.В.</t>
  </si>
  <si>
    <t>978-5-16-016335-2</t>
  </si>
  <si>
    <t>Допущено Министерством образования Российской Федерации в качестве учебника для студентов учреждений среднего профессионального образования</t>
  </si>
  <si>
    <t>0309</t>
  </si>
  <si>
    <t>034270.26.01</t>
  </si>
  <si>
    <t>Русский язык и культура речи: Уч. / Под ред. Гойхмана О.Я. - 2 изд. - М.:НИЦ ИНФРА-М,2023-240с.(ВО)</t>
  </si>
  <si>
    <t>РУССКИЙ ЯЗЫК И КУЛЬТУРА РЕЧИ, ИЗД.2</t>
  </si>
  <si>
    <t>Гойхман О.Я., Гончарова Л.М., Лапшина О.Н. и др.</t>
  </si>
  <si>
    <t>978-5-16-009929-3</t>
  </si>
  <si>
    <t>00.03.09, 00.05.09, 43.03.01, 43.03.02, 43.03.03</t>
  </si>
  <si>
    <t>Рекомендовано Учебно-методическим объединением учебных заведений Российской Федерации по образованию в области сервиса в качестве учебника для студентов высших учебных заведений, обучающихся по сервисным специальностям 43.00.00 «Сервис и туризм»</t>
  </si>
  <si>
    <t>719359.07.01</t>
  </si>
  <si>
    <t>Русский язык и культура речи: Уч. / Под ред. Гойхмана О.Я. -2 изд. -М.:НИЦ ИНФРА-М,2024-240с.(СПО)(П)</t>
  </si>
  <si>
    <t>978-5-16-015627-9</t>
  </si>
  <si>
    <t>00.02.34, 38.02.01</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</si>
  <si>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(протокол № 11 от 10.06.2019)</t>
  </si>
  <si>
    <t>108450.11.01</t>
  </si>
  <si>
    <t>Русский язык и культура речи: Уч.пос. / Е.А.Самойлова - М.:ИД ФОРУМ,НИЦ ИНФРА-М,2022-144с.(ПО)(П)</t>
  </si>
  <si>
    <t>РУССКИЙ ЯЗЫК И КУЛЬТУРА РЕЧИ</t>
  </si>
  <si>
    <t>Самойлова Е. А.</t>
  </si>
  <si>
    <t>978-5-8199-0802-0</t>
  </si>
  <si>
    <t>00.02.34, 20.02.05</t>
  </si>
  <si>
    <t>Допущено Государственным университетом гуманитарных наук в качестве учебного пособия для студентов учреждений среднего профессионального образования</t>
  </si>
  <si>
    <t>ИСРО ФГБНУ</t>
  </si>
  <si>
    <t>719412.02.01</t>
  </si>
  <si>
    <t>Русский язык и культура речи: Уч.пос. / О.Ю.Машина - М.:ИЦ РИОР, НИЦ ИНФРА-М,2022 - 170 с.(СПО)(П)</t>
  </si>
  <si>
    <t>Машина О. Ю.</t>
  </si>
  <si>
    <t>978-5-369-01825-5</t>
  </si>
  <si>
    <t>00.02.34, 44.02.01, 44.02.02, 44.02.03, 44.02.06</t>
  </si>
  <si>
    <t>155350.07.01</t>
  </si>
  <si>
    <t>Русский язык и культура речи: Уч.пос. / О.Ю.Машина, - 2 изд.-М.:ИЦ РИОР, ИНФРА-М Изд. Дом,2024.-168 с.(ВО)(п)</t>
  </si>
  <si>
    <t>978-5-369-00784-6</t>
  </si>
  <si>
    <t>Допущено Министерством образования Российской Федерации в качестве учебного пособия для студентов высших учебных заведений</t>
  </si>
  <si>
    <t>751086.02.01</t>
  </si>
  <si>
    <t>Русский язык и культура речи: Уч/ и практикум / Ф.В.Авджан-М.:НИЦ ИНФРА-М,2024.-373 с.(ВО)(П)</t>
  </si>
  <si>
    <t>РУССКИЙ ЯЗЫК И КУЛЬТУРА РЕЧИ. УЧЕБНИК И ПРАКТИКУМ</t>
  </si>
  <si>
    <t>Авджан Ф.В.</t>
  </si>
  <si>
    <t>978-5-16-017369-6</t>
  </si>
  <si>
    <t>00.02.34, 00.03.09</t>
  </si>
  <si>
    <t>Белгородский государственный технологический университет им. В.Г. Шухова, Новороссийский ф-л</t>
  </si>
  <si>
    <t>102530.05.01</t>
  </si>
  <si>
    <t>Русский язык и культура речи:Уч.пос. / О.Я.Гойхман и др.-М.:ИЦ РИОР, НИЦ ИНФРА-М,2020.-160 с..-(ВО: Бакалавриат)(О. КБС)</t>
  </si>
  <si>
    <t>ВО: Бакалавриат</t>
  </si>
  <si>
    <t>978-5-369-00348-0</t>
  </si>
  <si>
    <t>00.03.09, 00.05.09, 14.02.02, 38.02.01, 43.03.01, 43.03.02, 43.03.03</t>
  </si>
  <si>
    <t>Рекомендовано УМО в области сервиса в качестве учебного пособия для студентов вузов, обучающихся по сервисным специальностям</t>
  </si>
  <si>
    <t>683170.05.01</t>
  </si>
  <si>
    <t>Русский язык и литература: Практикум: В 2 ч.Ч.1 / Под ред. Алексеева А.В. - М.:НИЦ ИНФРА-М,2024 - 195 с.(СПО)(П)</t>
  </si>
  <si>
    <t>РУССКИЙ ЯЗЫК И ЛИТЕРАТУРА</t>
  </si>
  <si>
    <t>Алексеев А.В., Лапутина Т.В., Михайлова И.Д. и др.</t>
  </si>
  <si>
    <t>978-5-16-014498-6</t>
  </si>
  <si>
    <t>00.02.09, 31.02.01</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</si>
  <si>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(протокол № 6 от 25.03.2019)</t>
  </si>
  <si>
    <t>641800.04.01</t>
  </si>
  <si>
    <t>Русский язык и литература: Уч.: Ч. 1: Рус. яз./ Под ред. Алексеев А.В.-М.:НИЦ ИНФРА-М,2024.-363 с.(СПО)(П)</t>
  </si>
  <si>
    <t>978-5-16-014499-3</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</si>
  <si>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(протокол № 6 от 25.03.2019)</t>
  </si>
  <si>
    <t>652141.05.01</t>
  </si>
  <si>
    <t>Русский язык и литература: Уч.: Ч.2: Литература / В.К.Сигов и др. - М.:НИЦ ИНФРА-М,2024-491с(СПО)(П)</t>
  </si>
  <si>
    <t>Сигов В.К., Иванова Е.В., Колядич Т.М. и др.</t>
  </si>
  <si>
    <t>978-5-16-013325-6</t>
  </si>
  <si>
    <t>707070.03.01</t>
  </si>
  <si>
    <t>Русский язык: между неприязнью и любовью: Моногр./ Я.С.Турбовской-М.:НИЦ ИНФРА-М,2023-247с.(П)</t>
  </si>
  <si>
    <t>РУССКИЙ ЯЗЫК: МЕЖДУ НЕПРИЯЗНЬЮ И ЛЮБОВЬЮ</t>
  </si>
  <si>
    <t>Турбовской Я.С.</t>
  </si>
  <si>
    <t>978-5-16-015259-2</t>
  </si>
  <si>
    <t>44.04.01, 44.04.04, 45.04.01</t>
  </si>
  <si>
    <t>681866.04.01</t>
  </si>
  <si>
    <t>Русский язык: Уч.пос. / А.В.Сухотинская - М.:НИЦ ИНФРА-М,2024 - 215 с.(СПО)(П)</t>
  </si>
  <si>
    <t>РУССКИЙ ЯЗЫК</t>
  </si>
  <si>
    <t>Сухотинская А.В.</t>
  </si>
  <si>
    <t>978-5-16-014533-4</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</si>
  <si>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основную программу среднего профессионального образования (протокол № 5 от 19.05.2021)</t>
  </si>
  <si>
    <t>185200.12.01</t>
  </si>
  <si>
    <t>Русское искусство XIX века: Уч. пос. / И.Е. Печенкин. - М.: КУРС:  НИЦ Инфра-М, 2023. - 360 с.(П)</t>
  </si>
  <si>
    <t>РУССКОЕ ИСКУССТВО XIX ВЕКА</t>
  </si>
  <si>
    <t>Печенкин И. Е.</t>
  </si>
  <si>
    <t>978-5-905554-11-7</t>
  </si>
  <si>
    <t>07.03.01, 07.04.01, 50.03.04, 50.04.04, 51.04.04, 53.04.05, 54.01.20, 54.03.01, 54.03.04, 54.04.01, 54.04.04</t>
  </si>
  <si>
    <t>Допущено УМО по образованию в области архитектуры в качестве учебного пособия для студентов вузов, обучающихся по направлению "Архитектура"</t>
  </si>
  <si>
    <t>667638.05.01</t>
  </si>
  <si>
    <t>Русское искусство конца XIX - нач. XX в.: Уч.пос./ М.В.Москалюк-М.:НИЦ ИНФРА-М, СФУ,2023-257с(ВО)(П)</t>
  </si>
  <si>
    <t>РУССКОЕ ИСКУССТВО КОНЦА XIX - НАЧАЛА XX ВЕКА</t>
  </si>
  <si>
    <t>Москалюк М.В.</t>
  </si>
  <si>
    <t>978-5-16-018521-7</t>
  </si>
  <si>
    <t>50.02.01, 50.03.03, 50.03.04, 50.04.03, 50.04.04, 51.03.01, 51.04.01</t>
  </si>
  <si>
    <t>Допущено Учебно-методическим объединением по классическому университетскому образованию в качестве учебного пособия для студентов высших учебных заведений, обучающихся по направлению подготовки 50.03.03 «История искусства»</t>
  </si>
  <si>
    <t>Сибирский Государственный Институт Искусств имени Дмитрия Хворостовского</t>
  </si>
  <si>
    <t>174850.06.01</t>
  </si>
  <si>
    <t>С.Н. Булгаков как социолог: анализ социальных..: Моногр./Н.Ю.Матвеева-М.:НИЦ ИНФРА-М,2021-100с.(О)</t>
  </si>
  <si>
    <t>С.Н. БУЛГАКОВ КАК СОЦИОЛОГ: АНАЛИЗ СОЦИАЛЬНЫХ ПРОБЛЕМ, ИДЕЙ И ПРОЦЕССОВ</t>
  </si>
  <si>
    <t>Матвеева Н.Ю.</t>
  </si>
  <si>
    <t>978-5-16-005353-0</t>
  </si>
  <si>
    <t>682916.04.01</t>
  </si>
  <si>
    <t>Сабриентология: наука о трезвом сознании: Моногр. / В.Д.Ширшов-М.:НИЦ ИНФРА-М,2023.-210 с.(Науч.мысль)(О)</t>
  </si>
  <si>
    <t>САБРИЕНТОЛОГИЯ: НАУКА О ТРЕЗВОМ СОЗНАНИИ</t>
  </si>
  <si>
    <t>978-5-16-014052-0</t>
  </si>
  <si>
    <t>44.03.01, 44.05.01</t>
  </si>
  <si>
    <t>782290.01.01</t>
  </si>
  <si>
    <t>Садово-парковое искусство: Уч.пос.-М.:НИЦ ИНФРА-М,2023.-376 с..-(ВО: Бакалавриат)(п)</t>
  </si>
  <si>
    <t>САДОВО-ПАРКОВОЕ ИСКУССТВО</t>
  </si>
  <si>
    <t>Кригер Н.В., Фомина Н.В.</t>
  </si>
  <si>
    <t>Высшее образование: Бакалавриат (КрГАУ)</t>
  </si>
  <si>
    <t>978-5-16-018079-3</t>
  </si>
  <si>
    <t>35.03.05, 35.03.10</t>
  </si>
  <si>
    <t>Рекомендовано учебно-методическим советом федерального государственного бюджетного образовательного учреждения высшего образования «Красноярский государственный аграрный университет» для внутривузовского использования в качестве учебного пособия для студентов, обучающихся по направлению подготовки 35.03.10 «Ландшафтная архитектура»</t>
  </si>
  <si>
    <t>640857.05.01</t>
  </si>
  <si>
    <t>Садово-парковый и ландшаф. дизайн на англ. яз.: Уч.пос.. / В.Н.Новикова-М.:КУРС, НИЦ ИНФРА-М,2024-112с(О)</t>
  </si>
  <si>
    <t>САДОВО-ПАРКОВЫЙ И ЛАНДШАФТНЫЙ ДИЗАЙН НА АНГЛИЙСКОМ ЯЗЫКЕ = HORTICULURAL AND LANDSCAPE DESIGN IN ENGLISH</t>
  </si>
  <si>
    <t>Новикова В.Н.</t>
  </si>
  <si>
    <t>978-5-906818-89-8</t>
  </si>
  <si>
    <t>35.03.10</t>
  </si>
  <si>
    <t>734798.03.01</t>
  </si>
  <si>
    <t>Самосознание и личностный адаптац. потенциал при нормал. и... / Т.И.Кузьмина-М.:НИЦ ИНФРА-М,2024.-210 с.(О)</t>
  </si>
  <si>
    <t>САМОСОЗНАНИЕ И ЛИЧНОСТНЫЙ АДАПТАЦИОННЫЙ ПОТЕНЦИАЛ ПРИ НОРМАЛЬНОМ И НАРУШЕННОМ РАЗВИТИИ</t>
  </si>
  <si>
    <t>Кузьмина Т.И.</t>
  </si>
  <si>
    <t>978-5-16-016201-0</t>
  </si>
  <si>
    <t>37.03.01, 37.05.01, 37.06.01, 44.06.01</t>
  </si>
  <si>
    <t>Институт коррекционной педагогики</t>
  </si>
  <si>
    <t>763768.01.01</t>
  </si>
  <si>
    <t>Священное в мирском: конфесс. прочтение межд. отношений: Моногр. / Л.О.Терновая-М.:НИЦ ИНФРА-М,2022.-300 с.(Науч.мысль)(О)</t>
  </si>
  <si>
    <t>СВЯЩЕННОЕ В МИРСКОМ: КОНФЕССИОНАЛЬНОЕ ПРОЧТЕНИЕ МЕЖДУНАРОДНЫХ ОТНОШЕНИЙ</t>
  </si>
  <si>
    <t>978-5-16-017168-5</t>
  </si>
  <si>
    <t>47.00.00, 00.03.05, 00.05.05, 41.03.04, 41.04.05, 46.04.01, 47.04.03, 48.04.01</t>
  </si>
  <si>
    <t>468500.06.01</t>
  </si>
  <si>
    <t>Северская земля:этнодинам.насел.в VIII-XVIII в.: Моногр. / Н.М.Багновская-М:НИЦ ИНФРА-М,2024-214с(о)</t>
  </si>
  <si>
    <t>СЕВЕРСКАЯ ЗЕМЛЯ: ЭТНОДИНАМИКА НАСЕЛЕНИЯ В VIII-XVIII В</t>
  </si>
  <si>
    <t>Багновская Н.М.</t>
  </si>
  <si>
    <t>978-5-16-019443-1</t>
  </si>
  <si>
    <t>44.03.01, 44.03.05, 46.03.01, 46.03.03, 46.04.03</t>
  </si>
  <si>
    <t>655201.02.01</t>
  </si>
  <si>
    <t>Семьеведение: Уч.пос. / Е.П.Агапов и др.-М.:ИЦ РИОР, НИЦ ИНФРА-М,2024.-224 с.(п)</t>
  </si>
  <si>
    <t>СЕМЬЕВЕДЕНИЕ</t>
  </si>
  <si>
    <t>Агапов Е.П., Пендюрина Л.П., Нор-Аревян О.А.</t>
  </si>
  <si>
    <t>978-5-369-01732-6</t>
  </si>
  <si>
    <t>39.03.02, 39.03.03</t>
  </si>
  <si>
    <t>112550.07.01</t>
  </si>
  <si>
    <t>Семьеведение: Уч.пос. / И.Е.Лукьянова, - 2 изд.-М.:НИЦ ИНФРА-М,2023.-242 с.(ВО: Бакалавр.)(П)</t>
  </si>
  <si>
    <t>СЕМЬЕВЕДЕНИЕ, ИЗД.2</t>
  </si>
  <si>
    <t>Лукьянова И.Е., Утенкова С.Н.</t>
  </si>
  <si>
    <t>978-5-16-017187-6</t>
  </si>
  <si>
    <t>39.03.01, 39.03.02, 39.03.03, 39.04.02, 44.03.01, 44.03.02, 44.03.03, 44.03.04, 44.04.03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</si>
  <si>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укрупненным группам направлений подготовки 39.00.00 «Социология и социальная работа» и 44.00.00 «Образование и педагогические науки» (квалификация (степень) «бакалавр») (протокол № 6 от 08.06.2022)</t>
  </si>
  <si>
    <t>112550.06.01</t>
  </si>
  <si>
    <t>Семьеведение: Уч.пос. / Под ред. Сигиды Е.А. - М.:НИЦ ИНФРА-М,2017 - 265 с.-(ВО: Бакалавриат)(П)</t>
  </si>
  <si>
    <t>Лукьянова И.Е., Прохорова Э.М., Шиповская Л.П. и др.</t>
  </si>
  <si>
    <t>978-5-16-003602-1</t>
  </si>
  <si>
    <t>Допущено УМО по образованию в области социальной работы в качестве учебного пособия для студентов высших учебных заведений, обучающихся по направлению подготовки и специальности "Социальная работа"</t>
  </si>
  <si>
    <t>681847.07.01</t>
  </si>
  <si>
    <t>Семья и частная жизнь русского купечества...: Моногр. / И.Н.Лобачева - М.:НИЦ ИНФРА-М,2024 - 227 с.(О)</t>
  </si>
  <si>
    <t>СЕМЬЯ И ЧАСТНАЯ ЖИЗНЬ РУССКОГО КУПЕЧЕСТВА ВО ВТОРОЙ ПОЛОВИНЕ XIX - НАЧАЛЕ XX ВЕКА (ПО МАТЕРИАЛАМ ТУЛЬСКОЙ ГУБЕРНИИ)</t>
  </si>
  <si>
    <t>Лобачева И.Н.</t>
  </si>
  <si>
    <t>978-5-16-013853-4</t>
  </si>
  <si>
    <t>44.03.01, 44.03.05, 46.03.01, 46.04.01, 51.03.01, 51.03.03, 51.04.01, 51.04.03</t>
  </si>
  <si>
    <t>Тульский государственный университет</t>
  </si>
  <si>
    <t>670750.03.01</t>
  </si>
  <si>
    <t>Сибирский текст в нац. сюжетном пространстве: Моногр. / И.А.Айзикова.-М.:НИЦ ИНФРА-М, СФУ,2021.-237 с.(П)</t>
  </si>
  <si>
    <t>СИБИРСКИЙ ТЕКСТ В НАЦИОНАЛЬНОМ СЮЖЕТНОМ ПРОСТРАНСТВЕ</t>
  </si>
  <si>
    <t>Айзикова И.А., Анисимов К.В., Замятин Д.Н. и др.</t>
  </si>
  <si>
    <t>978-5-16-016947-7</t>
  </si>
  <si>
    <t>180400.09.01</t>
  </si>
  <si>
    <t>Синтаксис современного рус. языка: Уч. пос. / М.Ю. Федосюк. - М.: НИЦ Инфра-М, 2024-245с.(ВО) (п)</t>
  </si>
  <si>
    <t>СИНТАКСИС СОВРЕМЕННОГО РУССКОГО ЯЗЫКА</t>
  </si>
  <si>
    <t>Федосюк М. Ю.</t>
  </si>
  <si>
    <t>978-5-16-004872-7</t>
  </si>
  <si>
    <t>00.02.09, 00.03.09, 44.03.01, 44.03.05, 45.03.01</t>
  </si>
  <si>
    <t>Рекомендовано УМО по образованию в области подготовки педагогических  кадров в качестве учебного пособия для студентов вузов, обучающихся по направлению 050100 "Педагогическое образование" и специальности 050301 "Русский язык и литература"</t>
  </si>
  <si>
    <t>668759.01.01</t>
  </si>
  <si>
    <t>Система культуры: новые детерминанты... Моногр. / Е.А.Ноздренко-М.:НИЦ ИНФРА-М, СФУ,2018-156с</t>
  </si>
  <si>
    <t>СИСТЕМА КУЛЬТУРЫ: НОВЫЕ ДЕТЕРМИНАНТЫ. РЕКЛАМА КАК ФАКТОР СОВРЕМЕННОГО КУЛЬТУРНО-ИСТОРИЧЕСКОГО ПРОЦЕССА</t>
  </si>
  <si>
    <t>Ноздренко Е.А., Копцева Н.П.</t>
  </si>
  <si>
    <t>978-5-16-013317-1</t>
  </si>
  <si>
    <t>260600.06.01</t>
  </si>
  <si>
    <t>Система письма в англ. яз. и совр. узус: Моногр. / Н.К.Иванова.-М.:ИЦ РИОР, НИЦ ИНФРА-М,2023 -238с.(о)</t>
  </si>
  <si>
    <t>СИСТЕМА ПИСЬМА В АНГЛИЙСКОМ ЯЗЫКЕ И СОВРЕМЕННЫЙ УЗУС: ЯЗЫК, ВИРТУАЛЬНАЯ КОММУНИКАЦИЯ, РЕКЛАМА</t>
  </si>
  <si>
    <t>Иванова Н.К., Кузьмина Р.В., Мощева С.В.</t>
  </si>
  <si>
    <t>978-5-369-01324-3</t>
  </si>
  <si>
    <t>45.03.02, 45.04.02, 45.04.03</t>
  </si>
  <si>
    <t>481650.09.01</t>
  </si>
  <si>
    <t>Словарь аббревиатур и акронимов рус. яз. / И.А.Елисеев - М.:НИЦ ИНФРА-М,2023-718 с.(Б-ка сл."ИНФРА-М")(П)</t>
  </si>
  <si>
    <t>СЛОВАРЬ АББРЕВИАТУР И АКРОНИМОВ РУССКОГО ЯЗЫКА</t>
  </si>
  <si>
    <t>Елисеев И.А.</t>
  </si>
  <si>
    <t>978-5-16-010420-1</t>
  </si>
  <si>
    <t>415950.05.01</t>
  </si>
  <si>
    <t>Словарь аббревиатур испан. яз./ И.А.Елисеев-М.:НИЦ ИНФРА-М,2020-160с(Б-ка малых слов. "ИНФРА-М")(О)</t>
  </si>
  <si>
    <t>СЛОВАРЬ АББРЕВИАТУР ИСПАНСКОГО ЯЗЫКА</t>
  </si>
  <si>
    <t>Елисеев И. А.</t>
  </si>
  <si>
    <t>978-5-16-006453-6</t>
  </si>
  <si>
    <t>45.03.02, 45.04.02, 45.05.01</t>
  </si>
  <si>
    <t>764292.02.01</t>
  </si>
  <si>
    <t>Словарь диалектных слов в романе М. А. Шолохова "Тихий Дон" / В.Г.Маслов-М.:НИЦ ИНФРА-М,2024.-176 с.(П)</t>
  </si>
  <si>
    <t>СЛОВАРЬ ДИАЛЕКТНЫХ СЛОВ В РОМАНЕ М. А. ШОЛОХОВА "ТИХИЙ ДОН"</t>
  </si>
  <si>
    <t>Маслов В.Г., Маслов Д.Я., Мохова Е.М.</t>
  </si>
  <si>
    <t>978-5-16-017230-9</t>
  </si>
  <si>
    <t>45.03.01, 45.03.02, 45.03.03, 45.04.01, 45.04.02, 45.04.04, 45.06.01</t>
  </si>
  <si>
    <t>251700.05.01</t>
  </si>
  <si>
    <t>Словацкий экспрессионизм: Уч.пос. / А.Ю.Пескова-М.:НИЦ ИНФРА-М,2024.-143 с.(ВО: Бакалавриат)(о)</t>
  </si>
  <si>
    <t>СЛОВАЦКИЙ ЭКСПРЕССИОНИЗМ</t>
  </si>
  <si>
    <t>Пескова А. Ю.</t>
  </si>
  <si>
    <t>978-5-16-009374-1</t>
  </si>
  <si>
    <t>405300.04.01</t>
  </si>
  <si>
    <t>Словацко-русские межлитературные связи..: Уч.пос. / А.Г.Машкова-М.:НИЦ ИНФРА-М,2019.-268 с..-(ВО)(О)</t>
  </si>
  <si>
    <t>СЛОВАЦКО-РУССКИЕ МЕЖЛИТЕРАТУРНЫЕ СВЯЗИ: СТРАНИЦЫ ИСТОРИИ</t>
  </si>
  <si>
    <t>Машкова А. Г.</t>
  </si>
  <si>
    <t>978-5-16-005763-7</t>
  </si>
  <si>
    <t>45.04.01</t>
  </si>
  <si>
    <t>818812.01.01</t>
  </si>
  <si>
    <t>Слово и мысль: на один шаг вперед: Моногр. / В.К.Харченко-М.:НИЦ ИНФРА-М,2024.-219 с.(Науч.мысль)(п)</t>
  </si>
  <si>
    <t>СЛОВО И МЫСЛЬ: НА ОДИН ШАГ ВПЕРЕД</t>
  </si>
  <si>
    <t>978-5-16-019621-3</t>
  </si>
  <si>
    <t>45.03.03, 45.04.01, 45.04.02, 45.04.03, 45.06.01</t>
  </si>
  <si>
    <t>714974.04.01</t>
  </si>
  <si>
    <t>Словоизменение в словацком лит.  яз.: Моногр. / К.В.Лифанов-М.:НИЦ ИНФРА-М,2024.-121с(Науч.мысль)(О)</t>
  </si>
  <si>
    <t>СЛОВОИЗМЕНЕНИЕ В СЛОВАЦКОМ ЛИТЕРАТУРНОМ ЯЗЫКЕ</t>
  </si>
  <si>
    <t>978-5-16-015692-7</t>
  </si>
  <si>
    <t>45.03.01, 45.04.01, 45.04.02, 45.06.01</t>
  </si>
  <si>
    <t>221700.05.01</t>
  </si>
  <si>
    <t>Словообразовательный потенциал соматизмов "сердце"...: Моногр. / Ж.Багана-М.:НИЦ ИНФРА-М,2024.-128 с.(О)</t>
  </si>
  <si>
    <t>СЛОВООБРАЗОВАТЕЛЬНЫЙ ПОТЕНЦИАЛ СОМАТИЗМОВ "СЕРДЦЕ" И "ГОЛОВА"</t>
  </si>
  <si>
    <t>Багана Ж., Кравченко О. Н.</t>
  </si>
  <si>
    <t>978-5-16-008975-1</t>
  </si>
  <si>
    <t>722093.06.01</t>
  </si>
  <si>
    <t>Служители языческого культа в религиозной и...: Моногр. / М.Н.Козлов - М.:НИЦ ИНФРА-М,2020 - 173с(О)</t>
  </si>
  <si>
    <t>СЛУЖИТЕЛИ ЯЗЫЧЕСКОГО КУЛЬТА В РЕЛИГИОЗНОЙ И ПОЛИТИЧЕСКОЙ ЖИЗНИ ВОСТОЧНЫХ СЛАВЯН (IX-XI ВЕКА)</t>
  </si>
  <si>
    <t>978-5-16-015799-3</t>
  </si>
  <si>
    <t>00.03.04, 00.05.04, 46.03.01, 46.04.01, 46.06.01</t>
  </si>
  <si>
    <t>704972.01.01</t>
  </si>
  <si>
    <t>Смерть нарратива: Моногр. / С.В.Борзых - М.:НИЦ ИНФРА-М,2020 - 175 с.(Науч.мысль)(О)</t>
  </si>
  <si>
    <t>СМЕРТЬ НАРРАТИВА</t>
  </si>
  <si>
    <t>978-5-16-015083-3</t>
  </si>
  <si>
    <t>47.03.01, 47.04.01, 47.04.02, 47.06.01</t>
  </si>
  <si>
    <t>682553.05.01</t>
  </si>
  <si>
    <t>Современная англоязычная лит.: традиции и эксп.: Моногр. / Г.И.Лушникова - М.:НИЦ ИНФРА-М,2024-170с.(о)</t>
  </si>
  <si>
    <t>СОВРЕМЕННАЯ АНГЛОЯЗЫЧНАЯ ЛИТЕРАТУРА: ТРАДИЦИИ И ЭКСПЕРИМЕНТ</t>
  </si>
  <si>
    <t>978-5-16-017904-9</t>
  </si>
  <si>
    <t>45.04.01, 45.04.02, 51.04.01</t>
  </si>
  <si>
    <t>701073.05.01</t>
  </si>
  <si>
    <t>Современная британская, ирландская и американская лит..: Уч.пос. / Г.И.Лушникова-М.:НИЦ ИНФРА-М,2024.-211с(ВО)(П)</t>
  </si>
  <si>
    <t>СОВРЕМЕННАЯ БРИТАНСКАЯ, ИРЛАНДСКАЯ И АМЕРИКАНСКАЯ ЛИТЕРАТУРА: КАЛЕЙДОСКОП ЖАНРОВ, ТЕМ, СТИЛЕЙ</t>
  </si>
  <si>
    <t>Высшее образование: Магистратура  (КрымФУ)</t>
  </si>
  <si>
    <t>978-5-16-016095-5</t>
  </si>
  <si>
    <t>44.03.05, 45.03.01, 45.03.99, 45.04.01, 51.03.01, 51.03.06, 52.03.04, 52.03.05</t>
  </si>
  <si>
    <t>798671.02.01</t>
  </si>
  <si>
    <t>Современная концепция взаимодействия междунар.../Капустин А.Я.-М.:Юр. НОРМА, НИЦ ИНФРА-М, 2023-336 с.(П)</t>
  </si>
  <si>
    <t>СОВРЕМЕННАЯ КОНЦЕПЦИЯ ВЗАИМОДЕЙСТВИЯ МЕЖДУНАРОДНОГО И ВНУТРИГОСУДАРСТВЕННОГО ПРАВА В СВЕТЕ ВНЕСЕННЫХ ПОПРАВОК В КОНСТИТУЦИЮ РФ</t>
  </si>
  <si>
    <t>Капустин А.Я., Авхадеев В.Р., Азнагулова Г.М. и др.</t>
  </si>
  <si>
    <t>978-5-00156-287-0</t>
  </si>
  <si>
    <t>40.03.01, 40.04.01, 40.05.01, 40.05.04, 40.06.01</t>
  </si>
  <si>
    <t>Институт законодательства и сравнительного правоведения при Правительстве Российской Федерации</t>
  </si>
  <si>
    <t>814781.01.01</t>
  </si>
  <si>
    <t>Современная рус. оригинальная рок-поэзия: Моногр. /Е.В.Локтевич-М.:НИЦ ИНФРА-М,2024.-199 с.(Науч.мысль)(п)</t>
  </si>
  <si>
    <t>СОВРЕМЕННАЯ РУССКАЯ ОРИГИНАЛЬНАЯ РОК-ПОЭЗИЯ: ТРАНСФОРМАЦИЯ СУБЪЕКТНОЙ ПАРАДИГМЫ</t>
  </si>
  <si>
    <t>Локтевич Е.В.</t>
  </si>
  <si>
    <t>978-5-16-019246-8</t>
  </si>
  <si>
    <t>44.04.01, 45.03.01, 45.03.99, 45.04.01, 45.06.01, 45.07.01, 52.05.04</t>
  </si>
  <si>
    <t>632781.03.01</t>
  </si>
  <si>
    <t>Современная теоретическая социология: Уч.пос. / В.Г.Немировский-М.:НИЦ ИНФРА-М,2024.-304 с..-(ВО)(п)</t>
  </si>
  <si>
    <t>СОВРЕМЕННАЯ ТЕОРЕТИЧЕСКАЯ СОЦИОЛОГИЯ</t>
  </si>
  <si>
    <t>978-5-16-019574-2</t>
  </si>
  <si>
    <t>39.03.01, 39.04.01</t>
  </si>
  <si>
    <t>677734.03.01</t>
  </si>
  <si>
    <t>Современная этика: Уч. / В.А.Канке - 2 изд. - М.:НИЦ ИНФРА-М,2024 - 277 с.(ВО)(п)</t>
  </si>
  <si>
    <t>СОВРЕМЕННАЯ ЭТИКА, ИЗД.2</t>
  </si>
  <si>
    <t>978-5-16-018852-2</t>
  </si>
  <si>
    <t>07.03.03, 21.05.04, 37.05.01, 44.03.01, 44.03.05, 47.03.01, 47.03.02, 47.03.03, 47.04.01, 47.04.02, 47.04.03, 51.03.01, 51.03.04</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</si>
  <si>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основным образовательным программам высшего образования по направлениям подготовки бакалавриата (протокол № 10 от 12.10.2020)</t>
  </si>
  <si>
    <t>395400.08.01</t>
  </si>
  <si>
    <t>Современное православие: Уч.пос. / Т.Л.Белкина - М.:ИЦ РИОР,НИЦ ИНФРА-М,2024 -108с.(ВО:Бакалавр.)(о)</t>
  </si>
  <si>
    <t>СОВРЕМЕННОЕ ПРАВОСЛАВИЕ</t>
  </si>
  <si>
    <t>БелкинаТ.Л.</t>
  </si>
  <si>
    <t>978-5-369-01487-5</t>
  </si>
  <si>
    <t>47.03.03, 47.04.03</t>
  </si>
  <si>
    <t>Допущено УМО по классическому университетскому образованию в качестве учебного пособия для студентов высших учебных заведений, обучающихся по направлению подготовки 033300(47.03.03) «Религиоведение» (бакалавриат)</t>
  </si>
  <si>
    <t>278400.04.01</t>
  </si>
  <si>
    <t>Современные горожане-дачники: ценности...: Моногр. / Ю.В.Печин - М:ИНФРА-М,2020 - 167с. (о)</t>
  </si>
  <si>
    <t>СОВРЕМЕННЫЕ ГОРОЖАНЕ-ДАЧНИКИ: ЦЕННОСТИ И ТРУДОВАЯ МОТИВАЦИЯ</t>
  </si>
  <si>
    <t>Печин Ю. В.</t>
  </si>
  <si>
    <t>978-5-16-009809-8</t>
  </si>
  <si>
    <t>Новосибирский государственный аграрный университет</t>
  </si>
  <si>
    <t>764804.04.01</t>
  </si>
  <si>
    <t>Современные технологии обуч. ин. яз. в сис. ВО: Уч.пос. / Т.А.Дмитренко - М.:НИЦ ИНФРА-М,2023-164с.(ВО)(П)</t>
  </si>
  <si>
    <t>СОВРЕМЕННЫЕ ТЕХНОЛОГИИ ОБУЧЕНИЯ ИНОСТРАННОМУ ЯЗЫКУ В СИСТЕМЕ ВЫСШЕГО ОБРАЗОВАНИЯ</t>
  </si>
  <si>
    <t>Дмитренко Т.А.</t>
  </si>
  <si>
    <t>978-5-16-017201-9</t>
  </si>
  <si>
    <t>44.03.05, 44.04.01</t>
  </si>
  <si>
    <t>633958.05.01</t>
  </si>
  <si>
    <t>Современные технологии политичес...: Уч.пос. / С.Н.Федорченко-М.:НИЦ ИНФРА-М,2023.-200 с.(ВО)(п)</t>
  </si>
  <si>
    <t>СОВРЕМЕННЫЕ ТЕХНОЛОГИИ ПОЛИТИЧЕСКОГО МЕНЕДЖМЕНТА</t>
  </si>
  <si>
    <t>Федорченко С.Н.</t>
  </si>
  <si>
    <t>978-5-16-018728-0</t>
  </si>
  <si>
    <t>Рекомендовано в качестве учебного пособия для студентов высших учебных заведений, обучающихся по направлениям подготовки 41.03.04 «Политология», 41.03.06 «Публичная политика и социальные науки» (квалификация (степень) «бакалавр»)</t>
  </si>
  <si>
    <t>645038.07.01</t>
  </si>
  <si>
    <t>Современный рус. яз. Фонетика...: Уч.пос. / А.Ф.Пантелеев - М.:ИЦ РИОР, НИЦ ИНФРА-М,2023 -132 с.(ВО)(О)</t>
  </si>
  <si>
    <t>СОВРЕМЕННЫЙ РУССКИЙ ЯЗЫК. ФОНЕТИКА. ФОНОЛОГИЯ. ГРАФИКА. ОРФОГРАФИЯ</t>
  </si>
  <si>
    <t>Пантелеев А.Ф., Шейко Е.В., Белик Н.А.</t>
  </si>
  <si>
    <t>978-5-369-01623-7</t>
  </si>
  <si>
    <t>41.03.06, 42.03.02, 42.03.03, 42.03.04, 44.03.05, 45.03.01, 45.03.03</t>
  </si>
  <si>
    <t>667540.05.01</t>
  </si>
  <si>
    <t>Современный русский язык. Актуал.вопросы..: Уч.пос. / И.В.Евсеева - М.:НИЦ ИНФРА-М, СФУ,2023-201с(П)</t>
  </si>
  <si>
    <t>СОВРЕМЕННЫЙ РУССКИЙ ЯЗЫК. АКТУАЛЬНЫЕ ВОПРОСЫ МОРФЕМИКИ, МОРФОНОЛОГИИ И СЛОВООБРАЗОВАНИЯ</t>
  </si>
  <si>
    <t>Евсеева И.В.</t>
  </si>
  <si>
    <t>Высшее образование: Бакалавриат (СФУ)</t>
  </si>
  <si>
    <t>978-5-16-016865-4</t>
  </si>
  <si>
    <t>45.03.01, 45.03.02, 45.03.99</t>
  </si>
  <si>
    <t>Рекомендовано федеральным государственным бюджетным образовательным учреждением высшего профессионального образования «Российский государственный педагогический университет им. А.И. Герцена» к использованию в образовательных учреждениях, реализующих образовательные программы по дисциплине «Современный русский язык. Словообразование» по направлениям бакалавриата «Филология», «Филологическое образование», «Педагогическое образование»</t>
  </si>
  <si>
    <t>781591.04.01</t>
  </si>
  <si>
    <t>Современный русский язык. Лексикология. Фразеология: Уч.пос.-М.:ИЦ РИОР, НИЦ ИНФРА-М,2024.-318 с.(ВО)(П)</t>
  </si>
  <si>
    <t>СОВРЕМЕННЫЙ РУССКИЙ ЯЗЫК. ЛЕКСИКОЛОГИЯ. ФРАЗЕОЛОГИЯ</t>
  </si>
  <si>
    <t>Пантелеев А.Ф., Богуславская В.В., Белик Н.А.</t>
  </si>
  <si>
    <t>978-5-369-01912-2</t>
  </si>
  <si>
    <t>00.03.09, 41.03.06, 42.03.02, 42.03.03, 42.03.04, 45.03.01, 45.05.01, 56.05.05</t>
  </si>
  <si>
    <t>460750.09.01</t>
  </si>
  <si>
    <t>Современный русский язык. Лексикология: Уч.пос. / Л.Н.Чурилина - М.:ИЦ РИОР, НИЦ ИНФРА-М,2024-163с.(О)</t>
  </si>
  <si>
    <t>СОВРЕМЕННЫЙ РУССКИЙ ЯЗЫК. ЛЕКСИКОЛОГИЯ: ЛЕКСИЧЕСКАЯ СЕМАНТИКА</t>
  </si>
  <si>
    <t>Чурилина Л. Н., Деревскова Е. Н.</t>
  </si>
  <si>
    <t>978-5-369-01320-5</t>
  </si>
  <si>
    <t>45.03.01, 45.03.02, 45.03.03, 45.04.01, 45.04.02, 45.04.03</t>
  </si>
  <si>
    <t>Допущено Учебно-методическим объединением по направлениям педагогического образования в качестве учебного пособия для студентов высших учебных заведений, обучающихся по направлению 540300(050300) "Филологическое образование»</t>
  </si>
  <si>
    <t>Магнитогорский государственный технический университет им. Г.И. Носова</t>
  </si>
  <si>
    <t>704226.05.01</t>
  </si>
  <si>
    <t>Современный русский язык. Морфемика..: Уч.пос. / А.Ф.Пантелеев - М.:ИЦ РИОР,НИЦ ИНФРА-М,2024-140с(ВО)(О)</t>
  </si>
  <si>
    <t>СОВРЕМЕННЫЙ РУССКИЙ ЯЗЫК. МОРФЕМИКА. СЛОВООБРАЗОВАНИЕ</t>
  </si>
  <si>
    <t>Пантелеев А.Ф., Ковтуненко И.В.</t>
  </si>
  <si>
    <t>978-5-369-01805-7</t>
  </si>
  <si>
    <t>42.03.02, 42.03.03, 44.03.01, 44.03.05, 45.03.01</t>
  </si>
  <si>
    <t>741548.01.01</t>
  </si>
  <si>
    <t>Современный русский язык. Морфология: Уч.пос. / А.Ф.Пантелеев-М.:ИЦ РИОР, НИЦ ИНФРА-М,2021.-352с(ВО)(П)</t>
  </si>
  <si>
    <t>СОВРЕМЕННЫЙ РУССКИЙ ЯЗЫК. МОРФОЛОГИЯ</t>
  </si>
  <si>
    <t>978-5-369-01859-0</t>
  </si>
  <si>
    <t>42.03.03, 45.03.01, 45.04.01</t>
  </si>
  <si>
    <t>405950.11.01</t>
  </si>
  <si>
    <t>Современный словарь по общественным наукам / О.Г.Данильян - М.:НИЦ ИНФРА-М,2024 - 314 с(П)</t>
  </si>
  <si>
    <t>СОВРЕМЕННЫЙ СЛОВАРЬ ПО ОБЩЕСТВЕННЫМ НАУКАМ</t>
  </si>
  <si>
    <t>Данильян О.Г.</t>
  </si>
  <si>
    <t>978-5-16-005612-8</t>
  </si>
  <si>
    <t>00.03.16, 00.05.16</t>
  </si>
  <si>
    <t>109000.15.01</t>
  </si>
  <si>
    <t>Современный социоэкономич. словарь / Б.А. Райзберг. -ИНФРА-М, 2024. -629с.(Б-ка слов. "ИНФРА-М") (п)</t>
  </si>
  <si>
    <t>СОВРЕМЕННЫЙ СОЦИОЭКОНОМИЧЕСКИЙ СЛОВАРЬ</t>
  </si>
  <si>
    <t>Райзберг Б. А.</t>
  </si>
  <si>
    <t>978-5-16-003670-0</t>
  </si>
  <si>
    <t>38.03.01, 38.03.02, 39.03.01</t>
  </si>
  <si>
    <t>Московская Школа Экономики</t>
  </si>
  <si>
    <t>001458.06.01</t>
  </si>
  <si>
    <t>Сократ: Монография / В.С. Нерсесянц - 2 изд. - М.: Норма:НИЦ Инфра-М,2020 - 240 с. (о)</t>
  </si>
  <si>
    <t>СОКРАТ</t>
  </si>
  <si>
    <t>978-5-91768-305-8</t>
  </si>
  <si>
    <t>47.03.01, 47.03.02, 47.03.03, 47.04.01, 47.04.02, 47.04.03</t>
  </si>
  <si>
    <t>0196</t>
  </si>
  <si>
    <t>001458.08.01</t>
  </si>
  <si>
    <t>Сократ: Монография / В.С. Нерсесянц. - 2 изд. - М.: Норма:  НИЦ Инфра-М, 2023. - 240 с. (о)</t>
  </si>
  <si>
    <t>СОКРАТ, ИЗД.2</t>
  </si>
  <si>
    <t>797201.01.01</t>
  </si>
  <si>
    <t>Сольфеджио и теория музыки: практикум: Уч.пос. / М.В.Сиксимова-М.:НИЦ ИНФРА-М,2023.-164 с.(ВО)(п)</t>
  </si>
  <si>
    <t>СОЛЬФЕДЖИО И ТЕОРИЯ МУЗЫКИ: ПРАКТИКУМ</t>
  </si>
  <si>
    <t>Сиксимова М.В.</t>
  </si>
  <si>
    <t>978-5-16-018309-1</t>
  </si>
  <si>
    <t>44.03.01, 44.03.05, 53.03.01, 53.03.02, 53.03.03, 53.03.04, 53.03.05, 53.03.06, 53.05.01, 53.05.02, 53.05.03, 53.05.04, 53.05.05, 53.05.06</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</si>
  <si>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53.03.03 «Вокальное искусство», 53.03.04 «Искусство народного пения» (квалификация (степень) «бакалавр») (протокол № 10 от 21.12.2022)</t>
  </si>
  <si>
    <t>Волгоградский государственный институт искусств и культуры</t>
  </si>
  <si>
    <t>706936.02.01</t>
  </si>
  <si>
    <t>Сотворчество в музыкальном искусстве и музыкальном обр.: Моногр. / Е.Ю.Куприна-М.:НИЦ ИНФРА-М,2024-320 с.-(Науч.мысль)(О)</t>
  </si>
  <si>
    <t>СОТВОРЧЕСТВО В МУЗЫКАЛЬНОМ ИСКУССТВЕ И МУЗЫКАЛЬНОМ ОБРАЗОВАНИИ</t>
  </si>
  <si>
    <t>Куприна Е.Ю.</t>
  </si>
  <si>
    <t>978-5-16-015179-3</t>
  </si>
  <si>
    <t>53.04.01, 53.04.02, 53.04.03, 53.04.04, 53.04.06, 53.05.01, 53.05.02, 53.05.05, 53.09.01, 53.09.02, 53.09.03, 53.09.04, 53.09.05</t>
  </si>
  <si>
    <t>Тольяттинская Консерватория</t>
  </si>
  <si>
    <t>639312.03.01</t>
  </si>
  <si>
    <t>Социалистическая и радикал.традиц.в литер.США:Моногр./Б.А.Гиленсон- 2 изд.-М.:НИЦ ИНФРА-М,2023-390с.</t>
  </si>
  <si>
    <t>СОЦИАЛИСТИЧЕСКАЯ И РАДИКАЛЬНАЯ ТРАДИЦИИ В ЛИТЕРАТУРЕ США, ИЗД.2</t>
  </si>
  <si>
    <t>978-5-16-012269-4</t>
  </si>
  <si>
    <t>651868.05.01</t>
  </si>
  <si>
    <t>Социалистические системы / В.Парето - М.:ИЦ РИОР, НИЦ ИНФРА-М,2024 - 716 с.(Vilfredo Pareto)(П)</t>
  </si>
  <si>
    <t>СОЦИАЛИСТИЧЕСКИЕ СИСТЕМЫ</t>
  </si>
  <si>
    <t>Парето В.</t>
  </si>
  <si>
    <t>Vilfredo Pareto</t>
  </si>
  <si>
    <t>978-5-369-01774-6</t>
  </si>
  <si>
    <t>40.03.01, 40.04.01, 41.03.04, 41.03.06, 41.04.04, 44.03.01, 44.03.05, 47.03.01, 51.03.01</t>
  </si>
  <si>
    <t>059400.13.01</t>
  </si>
  <si>
    <t>Социальная антропология: Уч. / В.И.Добреньков - М.:НИЦ ИНФРА-М,2023.-688 с.(ВО)(п)</t>
  </si>
  <si>
    <t>СОЦИАЛЬНАЯ АНТРОПОЛОГИЯ</t>
  </si>
  <si>
    <t>978-5-16-018612-2</t>
  </si>
  <si>
    <t>39.03.01, 39.04.01, 44.03.05, 46.03.01, 51.03.01</t>
  </si>
  <si>
    <t>Рекомендовано Учебно-методическим объединением по классическому университетскому образованию РФ в качестве учебника для студентов высших учебных заведений, обучающихся по специальности 020300 "Социология"</t>
  </si>
  <si>
    <t>171250.12.01</t>
  </si>
  <si>
    <t>Социальная геронтология: Уч.пос. / Г.Б.Хасанова - М.:НИЦ ИНФРА-М,2024. - 171 с. (ВО)</t>
  </si>
  <si>
    <t>СОЦИАЛЬНАЯ ГЕРОНТОЛОГИЯ</t>
  </si>
  <si>
    <t>Хасанова Г. Б.</t>
  </si>
  <si>
    <t>978-5-16-004950-2</t>
  </si>
  <si>
    <t>39.03.01, 39.03.02, 39.04.01, 39.04.02</t>
  </si>
  <si>
    <t>Допущено Министерством образования РФ в качестве учебного пособия для студентов высших учебных заведений, обучающихся по специальности "Социальная работа"</t>
  </si>
  <si>
    <t>462550.03.01</t>
  </si>
  <si>
    <t>Социальная грамматика: Моногр. / С.В.Борзых-М.:НИЦ ИНФРА-М,2019.-120 с..-(Науч.мысль)(О)</t>
  </si>
  <si>
    <t>СОЦИАЛЬНАЯ ГРАММАТИКА</t>
  </si>
  <si>
    <t>978-5-16-009567-7</t>
  </si>
  <si>
    <t>39.03.01, 39.03.02, 39.04.01, 39.04.02, 41.03.06</t>
  </si>
  <si>
    <t>726079.01.01</t>
  </si>
  <si>
    <t>Социальная диалектика предыстории: Моногр. / С.Н.Некрасов - М.:НИЦ ИНФРА-М,2021 - 640 с.(Науч.мысль)(П)</t>
  </si>
  <si>
    <t>СОЦИАЛЬНАЯ ДИАЛЕКТИКА ПРЕДЫСТОРИИ</t>
  </si>
  <si>
    <t>Некрасов С.Н., Ветошкин А.П.</t>
  </si>
  <si>
    <t>978-5-16-016024-5</t>
  </si>
  <si>
    <t>389100.05.01</t>
  </si>
  <si>
    <t>Социальная информатика: Уч.пос. / Е.П.Агапов - М.:ИЦ РИОР, НИЦ ИНФРА-М,2022.-144 с.(ВО: Бакалавр.)(П)</t>
  </si>
  <si>
    <t>СОЦИАЛЬНАЯ ИНФОРМАТИКА</t>
  </si>
  <si>
    <t>978-5-369-01456-1</t>
  </si>
  <si>
    <t>110500.14.01</t>
  </si>
  <si>
    <t>Социальная политика: Уч.пос. / Г.А.Ахинов. - М.: НИЦ ИНФРА-М, 2024. - 272 с. (ВО)(п)</t>
  </si>
  <si>
    <t>СОЦИАЛЬНАЯ ПОЛИТИКА</t>
  </si>
  <si>
    <t>Ахинов Г.А., Калашников С.В.</t>
  </si>
  <si>
    <t>978-5-16-019333-5</t>
  </si>
  <si>
    <t>38.03.01, 38.03.02, 38.03.03, 38.03.04, 38.04.01, 38.04.02, 38.04.03, 38.04.04, 38.04.08, 38.04.09, 44.03.05</t>
  </si>
  <si>
    <t>Рекомендовано УМО вузов по образованию в области экономики и экономической теории в качестве учебного пособия для студентов, обучающихся по направлению 521600 "Экономика" и  экономические специальности</t>
  </si>
  <si>
    <t>Московский государственный университет им. М.В. Ломоносова, экономический факультет</t>
  </si>
  <si>
    <t>405900.05.01</t>
  </si>
  <si>
    <t>Социальная политика: Уч.пос. / Е.П.Тавокин - М.:НИЦ ИНФРА-М,2020 - 157 с.(ВО)(П)</t>
  </si>
  <si>
    <t>978-5-16-006151-1</t>
  </si>
  <si>
    <t>38.03.01, 38.03.02, 38.03.03, 38.03.04, 38.04.01, 38.04.02, 38.04.03, 38.04.04, 39.03.02, 39.04.02, 41.03.06, 44.03.05</t>
  </si>
  <si>
    <t>Рекомендуется студентам высших учебных заведений, обучающихся по направлениям «Экономика», «Менеджмент», «Управление персоналом», «Социология»</t>
  </si>
  <si>
    <t>405900.07.01</t>
  </si>
  <si>
    <t>Социальная политика: Уч.пос. / Е.П.Тавокин, - 2 изд.-М.:НИЦ ИНФРА-М,2024.-184 с.(ВО)(п)</t>
  </si>
  <si>
    <t>СОЦИАЛЬНАЯ ПОЛИТИКА, ИЗД.2</t>
  </si>
  <si>
    <t>978-5-16-019183-6</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</si>
  <si>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38.03.02 «Менеджмент», 38.03.03 «Управление персоналом», 38.03.04 «Государственное и муниципальное управление», 39.03.01 «Социология» (квалификация (степень) «бакалавр») (протокол № 11 от 09.11.2020)</t>
  </si>
  <si>
    <t>374600.06.01</t>
  </si>
  <si>
    <t>Социальная психология в схемах и коммент.: Уч.пос. / В.Г.Крысько - 4 изд.- М.:НИЦ ИНФРА-М,2024-227 с.(П)</t>
  </si>
  <si>
    <t>СОЦИАЛЬНАЯ ПСИХОЛОГИЯ В СХЕМАХ И КОММЕНТАРИЯХ, ИЗД.4</t>
  </si>
  <si>
    <t>978-5-16-019718-0</t>
  </si>
  <si>
    <t>37.03.01, 37.03.02, 37.05.01, 37.05.02, 39.03.01, 39.03.02, 39.03.03, 42.03.01, 42.03.02, 44.03.01, 44.03.02, 44.03.03, 44.03.04, 44.03.05</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</si>
  <si>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37.00.00 «Психологические науки», 38.00.00 «Экономика и управление», 39.00.00 «Социология и социальные науки» (квалификация (степень) «бакалавр») (протокол № 10 от 15.12.2021)</t>
  </si>
  <si>
    <t>0416</t>
  </si>
  <si>
    <t>632184.06.01</t>
  </si>
  <si>
    <t>Социальная психология детства: Уч. / В.В.Абраменкова - 2 изд. - М.:НИЦ ИНФРА-М,2023 - 511 с.(ВО)(П)</t>
  </si>
  <si>
    <t>СОЦИАЛЬНАЯ ПСИХОЛОГИЯ ДЕТСТВА, ИЗД.2</t>
  </si>
  <si>
    <t>Абраменкова В.В.</t>
  </si>
  <si>
    <t>978-5-16-012279-3</t>
  </si>
  <si>
    <t>37.03.01, 44.03.01, 44.03.02, 44.03.05</t>
  </si>
  <si>
    <t>Рекомендовано в качестве учебного пособия  для студентов высших учебных заведений, обучающихся по направлениям подготовки 37.03.01 «Психология», 44.03.01 «Педагогическое образование», 44.03.02 «Психолого-педагогическое образование» (квалификация (степень) «бакалавр»)</t>
  </si>
  <si>
    <t>285300.04.01</t>
  </si>
  <si>
    <t>Социальная психология обр.: Уч.пос./ Под ред.Крушельницкой О.Б. - М.:Вуз.уч.,НИЦ ИНФРА-М,2020-320с.(П)</t>
  </si>
  <si>
    <t>СОЦИАЛЬНАЯ ПСИХОЛОГИЯ ОБРАЗОВАНИЯ</t>
  </si>
  <si>
    <t>Крушельницкая О.Б., Крушельницкая О.Б., Сачкова М.Е. и др.</t>
  </si>
  <si>
    <t>978-5-9558-0376-0</t>
  </si>
  <si>
    <t>37.03.01, 37.04.01, 39.03.01, 39.03.02, 39.04.01, 39.04.02, 44.03.01, 44.03.02, 44.03.05, 44.04.01, 44.04.02</t>
  </si>
  <si>
    <t>693433.04.01</t>
  </si>
  <si>
    <t>Социальная психология образования. Практикум: Уч.пос. / Под ред. Крушельницкой О.Б.-М.:НИЦ ИНФРА-М,2022.-262 с(П)</t>
  </si>
  <si>
    <t>СОЦИАЛЬНАЯ ПСИХОЛОГИЯ ОБРАЗОВАНИЯ. ПРАКТИКУМ</t>
  </si>
  <si>
    <t>Кожухарь Г.С., Кочетков Н.В., Красило Д.А. и др.</t>
  </si>
  <si>
    <t>978-5-16-015003-1</t>
  </si>
  <si>
    <t>37.03.01, 44.03.01, 44.03.02, 44.03.03, 44.03.04, 44.03.05, 44.04.02, 44.05.01</t>
  </si>
  <si>
    <t>Рекомендовано Ученым советом ФГБОУ ВО МГППУ в качестве учебного пособия для студентов бакалавриата, обучающихся по направлениям «Психология» и «Психолого-педагогическое образование»</t>
  </si>
  <si>
    <t>636896.09.01</t>
  </si>
  <si>
    <t>Социальная психология общения...: Моногр. / А.Л.Свенцицкий - 2 изд.-М.:НИЦ ИНФРА-М,2024.-389 с.(П)</t>
  </si>
  <si>
    <t>СОЦИАЛЬНАЯ ПСИХОЛОГИЯ ОБЩЕНИЯ: ТЕОРИЯ И ПРАКТИКА, ИЗД.2</t>
  </si>
  <si>
    <t>Свенцицкий А.Л., Почебут Л.Г., Гуриева С.Д. и др.</t>
  </si>
  <si>
    <t>978-5-16-014192-3</t>
  </si>
  <si>
    <t>07.02.01, 08.02.01, 09.02.06, 26.02.04, 37.03.01, 38.03.04, 44.03.01, 44.03.05</t>
  </si>
  <si>
    <t>636896.03.01</t>
  </si>
  <si>
    <t>Социальная психология общения: Моногр. / Под ред. Свенцицкого А.Л.-М.:НИЦ ИНФРА-М,2018-256с.(П)</t>
  </si>
  <si>
    <t>СОЦИАЛЬНАЯ ПСИХОЛОГИЯ ОБЩЕНИЯ</t>
  </si>
  <si>
    <t>Свенцицкий А.Л., Панфёров В.Н., Куликов Л.В. и др.</t>
  </si>
  <si>
    <t>978-5-16-012186-4</t>
  </si>
  <si>
    <t>043364.17.01</t>
  </si>
  <si>
    <t>Социальная психология. Курс лекций: Уч.пос / В.Г.Крысько - 4 изд.-М.:Вуз.уч., НИЦ ИНФРА-М,2024-256с(П)</t>
  </si>
  <si>
    <t>СОЦИАЛЬНАЯ ПСИХОЛОГИЯ. КУРС ЛЕКЦИЙ, ИЗД.4</t>
  </si>
  <si>
    <t>978-5-9558-0382-1</t>
  </si>
  <si>
    <t>37.03.01, 37.03.02, 37.05.01, 37.05.02, 38.03.02, 38.03.03, 39.03.01, 39.03.02, 39.03.03, 42.03.01, 42.03.02, 44.03.01, 44.03.02, 44.03.03, 44.03.04, 44.03.05</t>
  </si>
  <si>
    <t>Допущено Учебно-методическим объединением по специальностям педагогического образования в качестве учебного пособия для студентов высших учебных заведений, обучающихся по специальности 031000 - Педагогика и психология</t>
  </si>
  <si>
    <t>0411</t>
  </si>
  <si>
    <t>049850.19.01</t>
  </si>
  <si>
    <t>Социальная психология: Уч. / В.А.Соснин - 3 изд. - М.:Форум, ИНФРА-М Изд. Дом,2022 - 335 с.(СПО)(П)</t>
  </si>
  <si>
    <t>СОЦИАЛЬНАЯ ПСИХОЛОГИЯ, ИЗД.3</t>
  </si>
  <si>
    <t>Соснин В.А., Красникова Е.А.</t>
  </si>
  <si>
    <t>978-5-00091-492-2</t>
  </si>
  <si>
    <t>0310</t>
  </si>
  <si>
    <t>381400.06.01</t>
  </si>
  <si>
    <t>Социальная психология: Уч. / Ю.П.Платонов - М.:НИЦ ИНФРА-М,2023 - 336с.(ВО:Бакалавр.)(П)</t>
  </si>
  <si>
    <t>СОЦИАЛЬНАЯ ПСИХОЛОГИЯ</t>
  </si>
  <si>
    <t>ПлатоновЮ.П.</t>
  </si>
  <si>
    <t>978-5-16-011147-6</t>
  </si>
  <si>
    <t>35.02.12, 37.03.01, 38.02.03, 38.02.07, 44.03.01, 44.03.05</t>
  </si>
  <si>
    <t>Санкт-Петербургский государственный институт психологии и социальной работы</t>
  </si>
  <si>
    <t>074200.11.01</t>
  </si>
  <si>
    <t>Социальная психология: Уч. пос. / А.Л.Журавлев, В.А.Соснин - 2 изд.- М.: Форум, 2020-496с.(ВО) (п)</t>
  </si>
  <si>
    <t>СОЦИАЛЬНАЯ ПСИХОЛОГИЯ, ИЗД.2</t>
  </si>
  <si>
    <t>Журавлев А. Л., Соснин В. А., Красников М. А.</t>
  </si>
  <si>
    <t>978-5-91134-494-8</t>
  </si>
  <si>
    <t>Рекомендовано Советом по психологии УМО по классическому университетскому образованию в качестве учебного пособия для студентов вузов, обучающихся по направлению и специальностям "Психология"</t>
  </si>
  <si>
    <t>095240.18.01</t>
  </si>
  <si>
    <t>Социальная психология: Уч.пос. / Н.С.Ефимова - М.:ИД ФОРУМ, НИЦ ИНФРА-М,2024 - 192 с.(СПО)(п)</t>
  </si>
  <si>
    <t>978-5-8199-0723-8</t>
  </si>
  <si>
    <t>00.01.04, 00.02.15</t>
  </si>
  <si>
    <t>Допущено Министерством образования  и науки Российской Федерации в качестве учебного пособия для студентов образовательных учреждений среднего профессионального образования</t>
  </si>
  <si>
    <t>074200.12.01</t>
  </si>
  <si>
    <t>Социальная психология: Уч.пос. / Под ред. Журавлева А.Л., - 3 изд.-М.:НИЦ ИНФРА-М,2023.-544 с.(ВО)(п)</t>
  </si>
  <si>
    <t>Грачев А.А., Емельянова Т.П., Журавлев А.Л. и др.</t>
  </si>
  <si>
    <t>978-5-16-016375-8</t>
  </si>
  <si>
    <t>Рекомендовано Советом по психологии УМО по классическому университетскому образованию в качестве учебного пособия для студентов высших учебных заведений, обучающихся по направлению и специальностям психологии</t>
  </si>
  <si>
    <t>Июнь, 2023</t>
  </si>
  <si>
    <t>327800.05.01</t>
  </si>
  <si>
    <t>Социальная раб. и подготовка соц. раб. за рубежом: Уч.пос. / В.А.Фокин-М.:Форум, НИЦ ИНФРА-М,2024.-272 с.(О)</t>
  </si>
  <si>
    <t>СОЦИАЛЬНАЯ РАБОТА И ПОДГОТОВКА СОЦИАЛЬНЫХ РАБОТНИКОВ ЗА РУБЕЖОМ</t>
  </si>
  <si>
    <t>Фокин В.А.</t>
  </si>
  <si>
    <t>978-5-00091-019-1</t>
  </si>
  <si>
    <t>Допущено УМО по образованию в области социальной работы в качестве дополнительного учебного пособия для студентов высших учебных заведений, обучающихся по направлению подготовки 39.03.02 «Социальная работа» (бакалавриат)</t>
  </si>
  <si>
    <t>Тульский государственный педагогический университет им. Л.Н. Толстого</t>
  </si>
  <si>
    <t>684802.08.01</t>
  </si>
  <si>
    <t>Социальная работа с лицами с огран.. возм. здоровья: Уч.пос. / Е.Н.Приступа-М.:НИЦ ИНФРА-М,2024.-159 с(П)</t>
  </si>
  <si>
    <t>СОЦИАЛЬНАЯ РАБОТА С ЛИЦАМИ С ОГРАНИЧЕННЫМИ ВОЗМОЖНОСТЯМИ ЗДОРОВЬЯ</t>
  </si>
  <si>
    <t>Приступа Е.Н.</t>
  </si>
  <si>
    <t>978-5-16-016386-4</t>
  </si>
  <si>
    <t>31.02.01, 39.01.01, 39.02.01</t>
  </si>
  <si>
    <t>Рекомендовано в качестве учебного пособия для студентов учебных заведений, реализующих программу среднего профессионального образования по специальности 39.02.01 «Социальная работа»</t>
  </si>
  <si>
    <t>Институт развития, здоровья и адаптации ребенка</t>
  </si>
  <si>
    <t>314100.11.01</t>
  </si>
  <si>
    <t>Социальная работа с лицами с огранич. возмож. здор.: Уч.пос. / Е.Н.Приступа- 2 изд.-М.:НИЦ ИНФРА-М,2024-191с.(ВО)(о)</t>
  </si>
  <si>
    <t>СОЦИАЛЬНАЯ РАБОТА С ЛИЦАМИ С ОГРАНИЧЕННЫМИ ВОЗМОЖНОСТЯМИ ЗДОРОВЬЯ, ИЗД.2</t>
  </si>
  <si>
    <t>978-5-16-019575-9</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</si>
  <si>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39.03.02 «Социальная работа» (квалификация (степень) «бакалавр») (протокол № 2 от 17.02.2021)</t>
  </si>
  <si>
    <t>314100.07.01</t>
  </si>
  <si>
    <t>Социальная работа с лицами с огранич. возмож. здор.: Уч.пос. / Е.Н.Приступа-М.:НИЦ ИНФРА-М,2020-159 с.(ВО)(П)</t>
  </si>
  <si>
    <t>978-5-16-015567-8</t>
  </si>
  <si>
    <t>Рекомендовано в качестве учебного пособия для студентов высших учебных заведений, обучающихся по направлению подготовки 39.03.02 «Социальная работа» (квалификация (степень) «бакалавр»)</t>
  </si>
  <si>
    <t>085450.11.01</t>
  </si>
  <si>
    <t>Социальная работа с мигрантами и..: Уч пос. / Акмалова А.А. и др.-М.:НИЦ ИНФРА-М,2024-220-(ВО)</t>
  </si>
  <si>
    <t>СОЦИАЛЬНАЯ РАБОТА С МИГРАНТАМИ И БЕЖЕНЦАМИ, ИЗД.2</t>
  </si>
  <si>
    <t>Акмалова А. А., Капицын В. М.</t>
  </si>
  <si>
    <t>978-5-16-009919-4</t>
  </si>
  <si>
    <t>Рекомендовано Учебно-методическим объединением вузов России по образованию в области социальной работы Мин. обр. и науки РФ в качестве учебного пособия для студентов, обучающихся по направлению и специальности "Социальная работа"</t>
  </si>
  <si>
    <t>485250.08.01</t>
  </si>
  <si>
    <t>Социальная работа: Сл. терминов / Е.Н.Приступа - М.:Форум, НИЦ ИНФРА-М,2023-232 с.(Б-ка сл. ИНФРА-М)(О)</t>
  </si>
  <si>
    <t>СОЦИАЛЬНАЯ РАБОТА: СЛОВАРЬ ТЕРМИНОВ</t>
  </si>
  <si>
    <t>Приступа Е.Н., Приступа Е.Н., Степичев П.А. и др.</t>
  </si>
  <si>
    <t>978-5-00091-764-0</t>
  </si>
  <si>
    <t>175200.12.01</t>
  </si>
  <si>
    <t>Социальная реабилитация: Уч. / Под ред. Валеевой Н.Ш. - М.:НИЦ ИНФРА-М,2024 - 320 с.(ВО: Бакалавр.)(П)</t>
  </si>
  <si>
    <t>СОЦИАЛЬНАЯ РЕАБИЛИТАЦИЯ</t>
  </si>
  <si>
    <t>Берецкая Е.А., Валеева Н.Ш., Валеева Э.Р. и др.</t>
  </si>
  <si>
    <t>978-5-16-005151-2</t>
  </si>
  <si>
    <t>Рекомендовано ФГОУ ВПО "Российским гос. универ. туризма и сервиса"  к использов. в образов. учрежд., реализ. обр. программы высшего проф. образов. по дисц. "Социальная реабилитология" по напр. подготовки "Социальная работа" и спец. "Социальная работ"</t>
  </si>
  <si>
    <t>Кубанский государственный технологический университет</t>
  </si>
  <si>
    <t>645466.05.01</t>
  </si>
  <si>
    <t>Социальная реклама в системе соц. коммуникаций...: Моногр. / И.Б.Давыдкина - М.:НИЦ ИНФРА-М,2023-126 с.(О)</t>
  </si>
  <si>
    <t>СОЦИАЛЬНАЯ РЕКЛАМА В СИСТЕМЕ СОЦИАЛЬНЫХ КОММУНИКАЦИЙ И СОЦИАЛЬНОГО УПРАВЛЕНИЯ</t>
  </si>
  <si>
    <t>Давыдкина И.Б.</t>
  </si>
  <si>
    <t>978-5-16-012943-3</t>
  </si>
  <si>
    <t>38.03.02, 38.03.04, 38.04.02, 38.04.04, 44.03.01, 44.03.05</t>
  </si>
  <si>
    <t>Российский экономический университет им. Г.В. Плеханова, Волгоградский ф-л</t>
  </si>
  <si>
    <t>667047.04.01</t>
  </si>
  <si>
    <t>Социальная философия и философия истории: Уч.пос./ Под ред. Момджян К.Х.-М.:НИЦ ИНФРА-М,2024-478с(П)</t>
  </si>
  <si>
    <t>СОЦИАЛЬНАЯ ФИЛОСОФИЯ И ФИЛОСОФИЯ ИСТОРИИ</t>
  </si>
  <si>
    <t>Антоновский А.Ю., Бойцова О.Ю., Брызгалина Е.В. и др.</t>
  </si>
  <si>
    <t>978-5-16-013641-7</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</si>
  <si>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47.04.01 «Философия» (протокол № 11 от 10.06.2019)</t>
  </si>
  <si>
    <t>406700.06.01</t>
  </si>
  <si>
    <t>Социальная эволюция: Моногр. / А.Г.Ганжа - М.:НИЦ ИНФРА-М,2020-106с.(Научная мысль)(о)</t>
  </si>
  <si>
    <t>СОЦИАЛЬНАЯ ЭВОЛЮЦИЯ</t>
  </si>
  <si>
    <t>Ганжа А. Г.</t>
  </si>
  <si>
    <t>978-5-16-006154-2</t>
  </si>
  <si>
    <t>39.04.01, 39.04.03, 47.03.01, 47.04.02, 50.03.01</t>
  </si>
  <si>
    <t>703678.03.01</t>
  </si>
  <si>
    <t>Социальная экология: Уч. / В.В.Стрельников-М.:НИЦ ИНФРА-М,2023.-214 с.(ВО: Бакалавр.)(П)</t>
  </si>
  <si>
    <t>СОЦИАЛЬНАЯ ЭКОЛОГИЯ</t>
  </si>
  <si>
    <t>Стрельников В.В., Францева Т.П.</t>
  </si>
  <si>
    <t>978-5-16-015184-7</t>
  </si>
  <si>
    <t>05.03.06, 39.03.02</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</si>
  <si>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05.03.06 «Экология и природопользование» (квалификация (степень) «бакалавр») (протокол № 11 от 26.10.2020)</t>
  </si>
  <si>
    <t>Кубанский государственный аграрный университет им. И.Т. Трубилина</t>
  </si>
  <si>
    <t>710223.03.01</t>
  </si>
  <si>
    <t>Социальное благополучие человека: Сб. науч. трудов / В.В.Комарова.-М.:Юр. НОРМА, НИЦ ИНФРА-М,2022.-240 с.(П)</t>
  </si>
  <si>
    <t>СОЦИАЛЬНОЕ БЛАГОПОЛУЧИЕ ЧЕЛОВЕКА</t>
  </si>
  <si>
    <t>Комарова В.В., Беше-Головко К., Чиркин В.Е. и др.</t>
  </si>
  <si>
    <t>978-5-00156-002-9</t>
  </si>
  <si>
    <t>39.03.02, 39.04.01, 39.04.02, 40.03.01, 40.04.01</t>
  </si>
  <si>
    <t>213200.05.01</t>
  </si>
  <si>
    <t>Социальное партнер. и соц. защ. работ.: Уч.пос. / Л.С.Морозова - М:Альфа-М:ИНФРА-М,2022-272с.(Бакалавр.) (п)</t>
  </si>
  <si>
    <t>СОЦИАЛЬНОЕ ПАРТНЕРСТВО И СОЦИАЛЬНАЯ ЗАЩИТА РАБОТНИКОВ</t>
  </si>
  <si>
    <t>Морозова Л. С., Мурашова Ю. В., Панова А. Г., Хаванова Н. В., Шестакова С. В.</t>
  </si>
  <si>
    <t>978-5-98281-351-0</t>
  </si>
  <si>
    <t>Допущено Советом Учебно-методического объединения по образованию в области менеджмента в качестве учебного пособия для студентов высших учебных заведений, обучающихся по направлению подготовки 080400.62 «Управление персоналом» (квалификация (степень)</t>
  </si>
  <si>
    <t>Российский государственный университет туризма и сервиса, ф-л Институт туризма и гостеприимства</t>
  </si>
  <si>
    <t>185850.11.01</t>
  </si>
  <si>
    <t>Социальное прогнозир. и проектир.: Уч.пос. / Р.В.Леньков - 3изд. - М:НИЦ ИНФРА-М,2024-189с(ВО)(О)</t>
  </si>
  <si>
    <t>СОЦИАЛЬНОЕ ПРОГНОЗИРОВАНИЕ И ПРОЕКТИРОВАНИЕ, ИЗД.3</t>
  </si>
  <si>
    <t>Леньков Р.В.</t>
  </si>
  <si>
    <t>978-5-16-015828-0</t>
  </si>
  <si>
    <t>38.03.02, 38.03.03, 38.03.04, 39.03.01, 39.03.02, 39.03.03, 42.03.01, 42.03.02, 42.03.05</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</si>
  <si>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гуманитарным направлениям подготовки (квалификация (степень) «бакалавр») (протокол № 3 от 17.02.2020)</t>
  </si>
  <si>
    <t>185850.05.01</t>
  </si>
  <si>
    <t>Социальное прогнозир. и проектир.: Уч.пос. /Р.В.Леньков,-2изд. -М:Форум,НИЦ ИНФРА-М,2019-192с(ВО)(О)</t>
  </si>
  <si>
    <t>СОЦИАЛЬНОЕ ПРОГНОЗИРОВАНИЕ И ПРОЕКТИРОВАНИЕ, ИЗД.2</t>
  </si>
  <si>
    <t>Леньков Р. В.</t>
  </si>
  <si>
    <t>978-5-91134-877-9</t>
  </si>
  <si>
    <t>Рекомендовано ФГВОУ ВПО «Государственный университет управления» в качестве учебного пособия для студентов высших учебных заведений, обучающихся по направлению подготовки 040100 «Социология»</t>
  </si>
  <si>
    <t>238300.06.01</t>
  </si>
  <si>
    <t>Социальное проектирование в социальной работе: Уч.пос. / А.В.Морозов-М.:НИЦ ИНФРА-М,2023.-208 с.(ВО)(п)</t>
  </si>
  <si>
    <t>СОЦИАЛЬНОЕ ПРОЕКТИРОВАНИЕ В СОЦИАЛЬНОЙ РАБОТЕ</t>
  </si>
  <si>
    <t>Морозов А. В.</t>
  </si>
  <si>
    <t>978-5-16-018729-7</t>
  </si>
  <si>
    <t>Рекомендовано УМО по образованию в области социальной  работы в качестве учебного пособия для студентов высших учебных заведений, обучающихся по направлению подготовки 39.03.02 (040400) "Социальная работа" (квалификация (степень) «бакалавр")</t>
  </si>
  <si>
    <t>725299.02.01</t>
  </si>
  <si>
    <t>Социальное управ. институционал. изм. в рос. обществе: Моногр. / Д.В.Щёлоков - М.:ИНФРА-М,2022-167с(О)</t>
  </si>
  <si>
    <t>СОЦИАЛЬНОЕ УПРАВЛЕНИЕ ИНСТИТУЦИОНАЛЬНЫМИ ИЗМЕНЕНИЯМИ В РОССИЙСКОМ ОБЩЕСТВЕ: СОЦИОЛОГИЧЕСКИЙ АНАЛИЗ ТРАНСФОРМАЦИОННЫХ ПРОЦЕССОВ</t>
  </si>
  <si>
    <t>Щёлоков Д.В.</t>
  </si>
  <si>
    <t>978-5-16-015880-8</t>
  </si>
  <si>
    <t>38.04.04, 39.04.01, 39.04.03, 39.06.01</t>
  </si>
  <si>
    <t>706234.04.01</t>
  </si>
  <si>
    <t>Социальное управ. процес. конвергенции в совр. медиасфере / О.И.Молчанова - М.:НИЦ ИНФРА-М,2024-241с(О)</t>
  </si>
  <si>
    <t>СОЦИАЛЬНОЕ УПРАВЛЕНИЕ ПРОЦЕССАМИ КОНВЕРГЕНЦИИ В СОВРЕМЕННОЙ МЕДИАСФЕРЕ</t>
  </si>
  <si>
    <t>Молчанова О.И.</t>
  </si>
  <si>
    <t>978-5-16-015086-4</t>
  </si>
  <si>
    <t>38.04.02, 38.04.04, 39.04.01, 41.03.06, 42.04.01, 42.04.02, 42.04.04, 42.04.05</t>
  </si>
  <si>
    <t>773012.01.01</t>
  </si>
  <si>
    <t>Социальное управление профориентационной деят в...: Моногр. / Е.В.Тихонова-М.:НИЦ ИНФРА-М,2022.-171 с.(О)</t>
  </si>
  <si>
    <t>СОЦИАЛЬНОЕ УПРАВЛЕНИЕ ПРОФОРИЕНТАЦИОННОЙ ДЕЯТЕЛЬНОСТЬЮ В ОБЩЕОБРАЗОВАТЕЛЬНЫХ УЧРЕЖДЕНИЯХ СОВРЕМЕННОГО МЕГАПОЛИСА</t>
  </si>
  <si>
    <t>Тихонова Е.В., Дианина Е.В.</t>
  </si>
  <si>
    <t>978-5-16-017760-1</t>
  </si>
  <si>
    <t>39.03.01, 39.04.01, 39.06.01, 44.04.01, 44.06.01</t>
  </si>
  <si>
    <t>767827.01.01</t>
  </si>
  <si>
    <t>Социально-правовая теория этнич. конфликта: Моногр. / Н.В.Кузьмина - М.:НИЦ ИНФРА-М,2022 - 173 с.(О)</t>
  </si>
  <si>
    <t>СОЦИАЛЬНО-ПРАВОВАЯ ТЕОРИЯ ЭТНИЧЕСКОГО КОНФЛИКТА</t>
  </si>
  <si>
    <t>Кузьмина Н.В.</t>
  </si>
  <si>
    <t>978-5-16-017317-7</t>
  </si>
  <si>
    <t>39.04.01, 39.06.01, 40.04.01, 40.06.01</t>
  </si>
  <si>
    <t>706142.04.01</t>
  </si>
  <si>
    <t>Социально-проектная деят. как открытое воспитательное... / Л.С. Пастухова - М.: ИНФРА-М, 2024-232с(П)</t>
  </si>
  <si>
    <t>СОЦИАЛЬНО-ПРОЕКТНАЯ ДЕЯТЕЛЬНОСТЬ КАК ОТКРЫТОЕ ВОСПИТАТЕЛЬНОЕ ПРОСТРАНСТВО ФОРМИРОВАНИЯ ГРАЖДАНСКИХ КАЧЕСТВ МОЛОДЕЖИ</t>
  </si>
  <si>
    <t>Пастухова Л.С., Иванова С.В.</t>
  </si>
  <si>
    <t>978-5-16-015067-3</t>
  </si>
  <si>
    <t>151450.08.01</t>
  </si>
  <si>
    <t>Социально-психолог. адаптация детей из семей... / В.В.Гриценко - 2 изд. - М.:Форум,НИЦ ИНФРА-М,2023-224 с.(О)</t>
  </si>
  <si>
    <t>СОЦИАЛЬНО-ПСИХОЛОГИЧЕСКАЯ АДАПТАЦИЯ ДЕТЕЙ ИЗ СЕМЕЙ МИГРАНТОВ, ИЗД.2</t>
  </si>
  <si>
    <t>Гриценко В. В., Шустова Н. Е.</t>
  </si>
  <si>
    <t>978-5-91134-512-9</t>
  </si>
  <si>
    <t>37.04.01, 39.04.02, 44.04.02</t>
  </si>
  <si>
    <t>761226.03.01</t>
  </si>
  <si>
    <t>Социально-психолог. феномены в совр. обр. пространстве / Кожухарь Г.С. - М.:НИЦ ИНФРА-М,2023-172 с.(О)</t>
  </si>
  <si>
    <t>СОЦИАЛЬНО-ПСИХОЛОГИЧЕСКИЕ ФЕНОМЕНЫ В СОВРЕМЕННОМ ОБРАЗОВАТЕЛЬНОМ ПРОСТРАНСТВЕ</t>
  </si>
  <si>
    <t>Кожухарь Г.С., Крушельницкая О.Б., Мешкова Н.В. и др.</t>
  </si>
  <si>
    <t>978-5-16-017096-1</t>
  </si>
  <si>
    <t>37.03.01, 37.04.01, 44.03.02, 44.04.02, 44.04.04, 44.06.01</t>
  </si>
  <si>
    <t>633961.07.01</t>
  </si>
  <si>
    <t>Социально-трудовые отношения: Уч.пос. / Н.М.Воловская, - 3 изд.-М.:НИЦ ИНФРА-М,2023.-185 с..-(ВО)(О)</t>
  </si>
  <si>
    <t>СОЦИАЛЬНО-ТРУДОВЫЕ ОТНОШЕНИЯ, ИЗД.3</t>
  </si>
  <si>
    <t>Воловская Н.М.</t>
  </si>
  <si>
    <t>978-5-16-012090-4</t>
  </si>
  <si>
    <t>38.03.01, 38.03.03, 38.03.04, 38.04.03, 38.04.04, 39.03.01, 39.04.01, 41.03.06, 42.03.01, 42.04.01</t>
  </si>
  <si>
    <t>Для студентов очной и заочной форм обучения по направлениям подготовки 39.03.01 «Социология», 38.03.03 «Управление персоналом», 42.03.01 «Реклама и связи с общественностью», 38.03.04 «Государственное и муниципальное управление» (квалификация (степень) «бакалавр»)</t>
  </si>
  <si>
    <t>740306.01.01</t>
  </si>
  <si>
    <t>Социально-философ. анализ взаимодействия религиоз. фактора.../ В.О.Микрюков-М.:НИЦ ИНФРА-М,2022.-194 с.(О)</t>
  </si>
  <si>
    <t>СОЦИАЛЬНО-ФИЛОСОФСКИЙ АНАЛИЗ ВЗАИМОДЕЙСТВИЯ РЕЛИГИОЗНОГО ФАКТОРА И ТЕРРОРА: СОВРЕМЕННЫЕ ТЕНДЕНЦИИ И ПЕРСПЕКТИВЫ</t>
  </si>
  <si>
    <t>Микрюков В.О.</t>
  </si>
  <si>
    <t>978-5-16-016330-7</t>
  </si>
  <si>
    <t>40.04.01, 40.05.02, 40.05.03, 40.06.01</t>
  </si>
  <si>
    <t>642077.07.01</t>
  </si>
  <si>
    <t>Социальные деформации (причины...): Моногр. / В.Н.Кудрявцев - М.:Юр.Норма,НИЦ ИНФРА-М,2022-136с.(О)</t>
  </si>
  <si>
    <t>СОЦИАЛЬНЫЕ ДЕФОРМАЦИИ (ПРИЧИНЫ, МЕХАНИЗМЫ И ПУТИ ПРЕОДОЛЕНИЯ)</t>
  </si>
  <si>
    <t>978-5-91768-773-5</t>
  </si>
  <si>
    <t>40.04.01</t>
  </si>
  <si>
    <t>641915.03.01</t>
  </si>
  <si>
    <t>Социальные конфликты современности: Уч. / М.Ю.Зеленков - М.:НИЦ ИНФРА-М,2023 - 233 с.(ВО: Бакалавр.)(П)</t>
  </si>
  <si>
    <t>СОЦИАЛЬНЫЕ КОНФЛИКТЫ СОВРЕМЕННОСТИ</t>
  </si>
  <si>
    <t>Зеленков М.Ю.</t>
  </si>
  <si>
    <t>978-5-16-016257-7</t>
  </si>
  <si>
    <t>37.04.02, 38.03.03, 38.03.04, 39.03.01, 39.03.02, 39.03.03, 40.03.01, 41.03.01, 41.03.02, 41.03.03, 41.03.04, 41.03.05, 41.03.06, 42.03.02, 43.03.01, 43.03.02, 43.03.03</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</si>
  <si>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укрупненным группам направлений  «Науки об обществе» (квалификация (степень) «бакалавр») (протокол № 8 от 22.06.2020)</t>
  </si>
  <si>
    <t>475050.04.01</t>
  </si>
  <si>
    <t>Социальные науки как предмет философ. и социолог. дискурса: Моногр./А.М.Орехов - ИНФРА-М, 2019-172с.</t>
  </si>
  <si>
    <t>СОЦИАЛЬНЫЕ НАУКИ КАК ПРЕДМЕТ ФИЛОСОФСКОГО И СОЦИОЛОГИЧЕСКОГО ДИСКУРСА</t>
  </si>
  <si>
    <t>Орехов А. М.</t>
  </si>
  <si>
    <t>978-5-16-010202-3</t>
  </si>
  <si>
    <t>39.03.01, 39.04.01, 40.03.01, 44.03.01, 44.03.05, 47.03.01, 47.04.01</t>
  </si>
  <si>
    <t>475050.06.01</t>
  </si>
  <si>
    <t>Социальные науки как предмет философ. и..: Моногр. / А.М.Орехов, - 2 изд.-М.:НИЦ ИНФРА-М,2023.-201с(О)</t>
  </si>
  <si>
    <t>СОЦИАЛЬНЫЕ НАУКИ КАК ПРЕДМЕТ ФИЛОСОФСКОГО И СОЦИОЛОГИЧЕСКОГО ДИСКУРСА, ИЗД.2</t>
  </si>
  <si>
    <t>978-5-16-014588-4</t>
  </si>
  <si>
    <t>161950.03.01</t>
  </si>
  <si>
    <t>Социальные смыслы: Монография / С.В.Борзых - М.:НИЦ ИНФРА-М,2020 - 123 с.-(Науч.мысль)(О)</t>
  </si>
  <si>
    <t>СОЦИАЛЬНЫЕ СМЫСЛЫ</t>
  </si>
  <si>
    <t>978-5-16-005149-9</t>
  </si>
  <si>
    <t>653024.04.01</t>
  </si>
  <si>
    <t>Социальные технологии и юрид. познание: Моногр. /Л.А.Воскобитова -М.:Юр.Норма,НИЦ ИНФРА-М,2023-192с.</t>
  </si>
  <si>
    <t>СОЦИАЛЬНЫЕ ТЕХНОЛОГИИ И ЮРИДИЧЕСКОЕ ПОЗНАНИЕ</t>
  </si>
  <si>
    <t>Воскобитова Л.А., Пржиленский В.И.</t>
  </si>
  <si>
    <t>978-5-91768-818-3</t>
  </si>
  <si>
    <t>40.03.01, 40.04.01</t>
  </si>
  <si>
    <t>230300.06.01</t>
  </si>
  <si>
    <t>Социальные технологии формиров. лидер. качеств..: Моногр./К.К.Оганян-ИНФРА-М, 2024-140с(Науч. мысль) (о)</t>
  </si>
  <si>
    <t>СОЦИАЛЬНЫЕ ТЕХНОЛОГИИ ФОРМИРОВАНИЯ ЛИДЕРСКИХ КАЧЕСТВ У БУДУЩИХ РУКОВОДИТЕЛЕЙ В ВУЗОВСКОЙ СРЕДЕ</t>
  </si>
  <si>
    <t>Оганян К. К.</t>
  </si>
  <si>
    <t>978-5-16-009058-0</t>
  </si>
  <si>
    <t>38.03.01, 38.03.03, 39.03.01, 39.04.01, 41.03.06</t>
  </si>
  <si>
    <t>396700.07.01</t>
  </si>
  <si>
    <t>Социальные технологии: фунд.и прикл.пробл.:Моногр./В.И.Пржиленский-Юр.Норма,НИЦ ИНФРА-М,2024-176с</t>
  </si>
  <si>
    <t>СОЦИАЛЬНЫЕ ТЕХНОЛОГИИ: ФУНДАМЕНТАЛЬНЫЕ И ПРИКЛАДНЫЕ ПРОБЛЕМЫ</t>
  </si>
  <si>
    <t>978-5-91768-653-0</t>
  </si>
  <si>
    <t>39.03.01, 39.03.03, 39.04.01, 39.04.03, 44.03.01, 44.03.05</t>
  </si>
  <si>
    <t>740995.01.01</t>
  </si>
  <si>
    <t>Социальные трансформации на рынке труда России...: Моногр. / И.А.Юрасов.-М.:НИЦ ИНФРА-М,2021.-164 с.(Науч.мысль)(О)</t>
  </si>
  <si>
    <t>СОЦИАЛЬНЫЕ ТРАНСФОРМАЦИИ НА РЫНКЕ ТРУДА РОССИИ: НЕФОРМАЛЬНАЯ ЗАНЯТОСТЬ</t>
  </si>
  <si>
    <t>Юрасов И.А., Кузнецова Е.В., Танина М.А. и др.</t>
  </si>
  <si>
    <t>978-5-16-014017-9</t>
  </si>
  <si>
    <t>38.04.02, 38.04.03, 38.04.04, 38.06.01</t>
  </si>
  <si>
    <t>700137.02.01</t>
  </si>
  <si>
    <t>Социальный дискурс: Монография / С.В.Борзых-М.:НИЦ ИНФРА-М,2023.-145 с..-(Науч.мысль)(О)</t>
  </si>
  <si>
    <t>СОЦИАЛЬНЫЙ ДИСКУРС</t>
  </si>
  <si>
    <t>978-5-16-014770-3</t>
  </si>
  <si>
    <t>447750.08.01</t>
  </si>
  <si>
    <t>Социальный капитал личности: Моногр. / Л.Г.Почебут и др. - М.:НИЦ ИНФРА-М,2021-250 с.-(Науч.мысль)(П)</t>
  </si>
  <si>
    <t>СОЦИАЛЬНЫЙ КАПИТАЛ ЛИЧНОСТИ</t>
  </si>
  <si>
    <t>Почебут Л.Г., Свенцицкий А.Л., Марарица Л.В. и др.</t>
  </si>
  <si>
    <t>978-5-16-008977-5</t>
  </si>
  <si>
    <t>800723.01.01</t>
  </si>
  <si>
    <t>Социальный капитал организации: Моногр. / Д.С.Безносов.-М.:НИЦ ИНФРА-М,2024.-332 с.(Науч.мысль)(п)</t>
  </si>
  <si>
    <t>СОЦИАЛЬНЫЙ КАПИТАЛ ОРГАНИЗАЦИИ</t>
  </si>
  <si>
    <t>Безносов Д.С., Волкова Н.В., Гуриева С.Д. и др.</t>
  </si>
  <si>
    <t>978-5-16-019006-8</t>
  </si>
  <si>
    <t>38.03.03, 38.04.03, 38.06.01</t>
  </si>
  <si>
    <t>789752.01.01</t>
  </si>
  <si>
    <t>Социальный подход к пробл. инвалидности: Моногр. / Е.Н.Приступа-М.:НИЦ ИНФРА-М,2023.-171 с.(Науч.мысль)(о)</t>
  </si>
  <si>
    <t>СОЦИАЛЬНЫЙ ПОДХОД К ПРОБЛЕМЕ ИНВАЛИДНОСТИ</t>
  </si>
  <si>
    <t>978-5-16-018077-9</t>
  </si>
  <si>
    <t>720243.04.01</t>
  </si>
  <si>
    <t>Социальный роман А. Слаповского...: Моногр. / Т.А.Дикун - М.:НИЦ ИНФРА-М,2024 - 178 с.(Науч.мысль)(О)</t>
  </si>
  <si>
    <t>СОЦИАЛЬНЫЙ РОМАН А. СЛАПОВСКОГО: ЖАНРОВЫЕ МОДИФИКАЦИИ И ЭВОЛЮЦИЯ ГЕРОЯ</t>
  </si>
  <si>
    <t>Дикун Т.А.</t>
  </si>
  <si>
    <t>978-5-16-015735-1</t>
  </si>
  <si>
    <t>Иркутский национальный исследовательский технический университет</t>
  </si>
  <si>
    <t>347200.04.01</t>
  </si>
  <si>
    <t>Социобикультурная иноязыч. комп. шк.:Моногр./Н.В.Барышников-М.:Вуз. уч., НИЦ ИНФРА-М,2024.-222 с.(О)</t>
  </si>
  <si>
    <t>СОЦИОБИКУЛЬТУРНАЯ ИНОЯЗЫЧНАЯ КОМПЕТЕНЦИЯ ШКОЛЬНИКА</t>
  </si>
  <si>
    <t>Барышников Н.В., Богдан Н.А.</t>
  </si>
  <si>
    <t>978-5-9558-0429-3</t>
  </si>
  <si>
    <t>641155.05.01</t>
  </si>
  <si>
    <t>Социокультурная антропология: Уч. / А.И.Кравченко - М.:НИЦ ИНФРА-М,2023.-333 с.(ВО)(п)</t>
  </si>
  <si>
    <t>СОЦИОКУЛЬТУРНАЯ АНТРОПОЛОГИЯ</t>
  </si>
  <si>
    <t>978-5-16-018533-0</t>
  </si>
  <si>
    <t>44.03.05, 46.03.01, 50.03.01, 51.03.01</t>
  </si>
  <si>
    <t>Рекомендовано ученым советом социологического факультета Московского государственного университета им. М.В. Ломоносова в качестве учебника для студентов гуманитарных направлений и специальностей</t>
  </si>
  <si>
    <t>776839.01.01</t>
  </si>
  <si>
    <t>Социокультурная динамика масс. праздников и зрелищ: Моногр. / М.В.Литвинова-М.:НИЦ ИНФРА-М,2023.-148 с.(о)</t>
  </si>
  <si>
    <t>СОЦИОКУЛЬТУРНАЯ ДИНАМИКА МАССОВЫХ ПРАЗДНИКОВ И ЗРЕЛИЩ</t>
  </si>
  <si>
    <t>Литвинова М.В.</t>
  </si>
  <si>
    <t>978-5-16-017704-5</t>
  </si>
  <si>
    <t>41.04.04, 41.06.01, 51.03.05, 51.04.05, 51.06.01</t>
  </si>
  <si>
    <t>313600.06.01</t>
  </si>
  <si>
    <t>Социокультурные основания и специф. кича в графич..: Моногр. /Р.Ю.Овчинникова -Магистр, ИНФРА-М, 2024-136с.(о)</t>
  </si>
  <si>
    <t>СОЦИОКУЛЬТУРНЫЕ ОСНОВАНИЯ И СПЕЦИФИКА КИЧА В ГРАФИЧЕСКОМ ДИЗАЙНЕ</t>
  </si>
  <si>
    <t>Овчинникова Р.Ю.</t>
  </si>
  <si>
    <t>978-5-9776-0335-5</t>
  </si>
  <si>
    <t>54.04.01</t>
  </si>
  <si>
    <t>670749.03.01</t>
  </si>
  <si>
    <t>Социокультурный потенциал высшего тех. образ.: Моногр. / С.А.Митасова-М.:НИЦ ИНФРА-М, СФУ,2023-113с.</t>
  </si>
  <si>
    <t>СОЦИОКУЛЬТУРНЫЙ ПОТЕНЦИАЛ ВЫСШЕГО ТЕХНИЧЕСКОГО ОБРАЗОВАНИЯ</t>
  </si>
  <si>
    <t>Митасова С.А., Евменова Л.Н., Куроленко Е.М.</t>
  </si>
  <si>
    <t>978-5-16-013419-2</t>
  </si>
  <si>
    <t>39.06.01, 39.07.01, 51.06.01</t>
  </si>
  <si>
    <t>786076.01.01</t>
  </si>
  <si>
    <t>Социолингвистика: хрестоматия: Уч.пос. / Т.М.Надеина-М.:Юр. НОРМА, НИЦ ИНФРА-М,2023.-488 с.(П)</t>
  </si>
  <si>
    <t>СОЦИОЛИНГВИСТИКА: ХРЕСТОМАТИЯ</t>
  </si>
  <si>
    <t>978-5-00156-260-3</t>
  </si>
  <si>
    <t>40.05.03, 45.04.01, 45.04.03</t>
  </si>
  <si>
    <t>352800.07.01</t>
  </si>
  <si>
    <t>Социологические и психол.мет.исслед.в соц.работе: Уч.пос. /С.С.Новикова-М.:НИЦ ИНФРА-М,2023-495с.(П)</t>
  </si>
  <si>
    <t>СОЦИОЛОГИЧЕСКИЕ И ПСИХОЛОГИЧЕСКИЕ МЕТОДЫ ИССЛЕДОВАНИЙ В СОЦИАЛЬНОЙ РАБОТЕ</t>
  </si>
  <si>
    <t>978-5-16-010885-8</t>
  </si>
  <si>
    <t>Рекомендовано УМО по образованию в области социальной работы в качестве учебного пособия для студентов высших учебных заведений, обучающихся по направлению подготовки 39.03.02 «Социальная работа»</t>
  </si>
  <si>
    <t>148700.04.01</t>
  </si>
  <si>
    <t>Социологические методы исслед..: Уч.пос. / Под ред. Ивановой Т.Н.-М.:ИД ФОРУМ, ИНФРА-М,2017-256с.(П)</t>
  </si>
  <si>
    <t>СОЦИОЛОГИЧЕСКИЕ МЕТОДЫ ИССЛЕДОВАНИЯ В ТОВАРОВЕДЕНИИ ПИЩЕВЫХ ПРОДУКТОВ</t>
  </si>
  <si>
    <t>Уварова В.И., Евдокимова О.В., Иванова Т.Н.</t>
  </si>
  <si>
    <t>978-5-8199-0470-1</t>
  </si>
  <si>
    <t>38.03.07, 38.04.07</t>
  </si>
  <si>
    <t>Рекомендовано УМО по образованию в области товароведения и экспертизы товаров в качестве учебного пособия для студентов вузов, обучающихся по специальности 351100 "Товароведение и экспертиза товаров"</t>
  </si>
  <si>
    <t>691665.03.01</t>
  </si>
  <si>
    <t>Социологический анализ интегр. модели личности руковод.: Моногр./К.К.Оганян-М.:НИЦ ИНФРА-М,2024-166с</t>
  </si>
  <si>
    <t>СОЦИОЛОГИЧЕСКИЙ АНАЛИЗ ИНТЕГРАЛЬНОЙ МОДЕЛИ ЛИЧНОСТИ РУКОВОДИТЕЛЯ: ТЕОРИЯ И ПРАКТИКА</t>
  </si>
  <si>
    <t>978-5-16-014709-3</t>
  </si>
  <si>
    <t>099000.08.01</t>
  </si>
  <si>
    <t>Социологический словарь / Г.В.Осипов - М.:НОРМА, НИЦ ИНФРА-М,2022 - 608 с.(П)</t>
  </si>
  <si>
    <t>СОЦИОЛОГИЧЕСКИЙ СЛОВАРЬ</t>
  </si>
  <si>
    <t>Осипов Г. В., Москвичев Л. Н.</t>
  </si>
  <si>
    <t>978-5-91768-098-9</t>
  </si>
  <si>
    <t>296600.03.01</t>
  </si>
  <si>
    <t>Социологическое сопровожд.обеспечения...: Моногр. / Под ред. Оганян К.М. - М.:НИЦ ИНФРА-М,2018-244с.(о)</t>
  </si>
  <si>
    <t>СОЦИОЛОГИЧЕСКОЕ СОПРОВОЖДЕНИЕ ОБЕСПЕЧЕНИЯ КОНКУРЕНТОСПОСОБНОСТИ ВЫПУСКНИКОВ ВУЗОВ  В УСЛОВИЯХ СОВРЕМЕННОГО РЫНКА ТРУДА</t>
  </si>
  <si>
    <t>Оганян К.М., Андреева И.В., Акопян В.К. и др.</t>
  </si>
  <si>
    <t>978-5-16-010101-9</t>
  </si>
  <si>
    <t>636226.04.01</t>
  </si>
  <si>
    <t>Социология безопасности: Уч. / Под ред. Волков Ю.Г.-М.:ИЦ РИОР, НИЦ ИНФРА-М,2023.-264 с..-(П)</t>
  </si>
  <si>
    <t>СОЦИОЛОГИЯ БЕЗОПАСНОСТИ</t>
  </si>
  <si>
    <t>Верещагина А.В., Самыгин С.И., Гафиатулина Н.Х. и др.</t>
  </si>
  <si>
    <t>978-5-369-01582-7</t>
  </si>
  <si>
    <t>39.03.02, 39.03.03, 39.04.01, 39.04.02, 39.04.03</t>
  </si>
  <si>
    <t>Рекомендовано Российской социологической ассоциацией в качестве учебника для студентов высших учебных заведений, обучающихся по направлению «Социология»</t>
  </si>
  <si>
    <t>641115.03.01</t>
  </si>
  <si>
    <t>Социология воображения международных отношений: Моногр. / Л.О.Терновая -М.:НИЦ ИНФРА-М,2021-254с.(П)</t>
  </si>
  <si>
    <t>СОЦИОЛОГИЯ ВООБРАЖЕНИЯ МЕЖДУНАРОДНЫХ ОТНОШЕНИЙ</t>
  </si>
  <si>
    <t>978-5-16-012311-0</t>
  </si>
  <si>
    <t>41.03.06, 44.03.01, 44.03.05</t>
  </si>
  <si>
    <t>641793.06.01</t>
  </si>
  <si>
    <t>Социология городской среды: Монография / В.П.Столбов - М.:НИЦ ИНФРА-М,2024 - 174 с(Науч.мысль)(П)</t>
  </si>
  <si>
    <t>СОЦИОЛОГИЯ ГОРОДСКОЙ СРЕДЫ</t>
  </si>
  <si>
    <t>Столбов В.П., Starosta P.J.</t>
  </si>
  <si>
    <t>978-5-16-012338-7</t>
  </si>
  <si>
    <t>333800.05.01</t>
  </si>
  <si>
    <t>Социология истории: Уч.пос. / В.В.Афанасьев - М.:НИЦ ИНФРА-М,2024 - 237 с.(ВО)(п)</t>
  </si>
  <si>
    <t>СОЦИОЛОГИЯ ИСТОРИИ</t>
  </si>
  <si>
    <t>978-5-16-019280-2</t>
  </si>
  <si>
    <t>39.03.01, 44.03.01, 44.03.05, 46.03.01, 46.04.01</t>
  </si>
  <si>
    <t>439250.05.01</t>
  </si>
  <si>
    <t>Социология коммуникации: Уч. пос. / А.С. Чамкин. - М.: НИЦ ИНФРА-М, 2023. - 295 с.(ВО: Бакалавр.) (п)</t>
  </si>
  <si>
    <t>СОЦИОЛОГИЯ КОММУНИКАЦИИ</t>
  </si>
  <si>
    <t>Чамкин А. С.</t>
  </si>
  <si>
    <t>978-5-16-005544-2</t>
  </si>
  <si>
    <t>38.03.01, 38.03.02, 38.03.03, 38.04.01, 38.04.02, 38.04.03, 41.03.05, 41.03.06, 41.04.04, 41.04.05, 42.03.01, 42.03.02, 42.04.01, 42.04.02, 46.04.02</t>
  </si>
  <si>
    <t>117450.10.01</t>
  </si>
  <si>
    <t>Социология массовой коммуникации: Уч. /В.И.Гостенина- 2изд.-М:Альфа-М:НИЦ ИНФРА-М,2024-336с(Бакалавр.) (П)</t>
  </si>
  <si>
    <t>СОЦИОЛОГИЯ МАССОВОЙ КОММУНИКАЦИИ, ИЗД.2</t>
  </si>
  <si>
    <t>Гостенина В. И., Киселев А. Г.</t>
  </si>
  <si>
    <t>978-5-98281-338-1</t>
  </si>
  <si>
    <t>41.03.06, 42.03.01, 42.03.02, 42.03.04, 42.03.05</t>
  </si>
  <si>
    <t>655200.07.01</t>
  </si>
  <si>
    <t>Социология молодежи: Уч. / К.В.Воденко - М.:ИЦ РИОР,НИЦ ИНФРА-М,2024 - 189 с.(ВО: Бакалавриат)(О)</t>
  </si>
  <si>
    <t>СОЦИОЛОГИЯ МОЛОДЕЖИ</t>
  </si>
  <si>
    <t>Воденко К.В.</t>
  </si>
  <si>
    <t>978-5-369-01939-9</t>
  </si>
  <si>
    <t>418100.07.01</t>
  </si>
  <si>
    <t>Социология морали: Уч. / Т.Ю.Кирилина. - М.: НИЦ ИНФРА-М, 2024. - 190 с.(ВО: Бакалавр.)(о)</t>
  </si>
  <si>
    <t>СОЦИОЛОГИЯ МОРАЛИ</t>
  </si>
  <si>
    <t>Кирилина Т. Ю.</t>
  </si>
  <si>
    <t>978-5-16-006257-0</t>
  </si>
  <si>
    <t>Допущено Учебно-методическим объединением по классическому университетскому образованию в качестве учебного пособия для студентов высших учебных заведений, обучающихся в бакалавриате по направлению «Социология»</t>
  </si>
  <si>
    <t>Технологический университет имени дважды героя Советского Союза, летчика-космонавта А.А.Леонова</t>
  </si>
  <si>
    <t>632255.05.01</t>
  </si>
  <si>
    <t>Социология образования: Уч. / Е.В.Тихонова - М.:НИЦ ИНФРА-М,2024.-231 с..-(ВО)(п)</t>
  </si>
  <si>
    <t>СОЦИОЛОГИЯ ОБРАЗОВАНИЯ</t>
  </si>
  <si>
    <t>Тихонова Е.В., Мишина Г.Н.</t>
  </si>
  <si>
    <t>978-5-16-018948-2</t>
  </si>
  <si>
    <t>39.03.01, 39.03.03, 39.04.01, 39.04.03, 44.03.01, 44.03.02, 44.03.03, 44.03.04, 44.03.05, 44.04.01, 44.04.02, 44.04.03, 44.04.04</t>
  </si>
  <si>
    <t>Рекомендовано в качестве учебника для студентов высших учебных заведений, обучающихся по направлениям подготовки 39.03.01 «Социология», 44.03.01 «Педагогическое образование» (квалификация (степень) «бакалавр»)</t>
  </si>
  <si>
    <t>632256.05.01</t>
  </si>
  <si>
    <t>Социология общественного мнения: Уч. / Е.В.Тихонова - М.:НИЦ ИНФРА-М,2023-274с.-(ВО)(п)</t>
  </si>
  <si>
    <t>СОЦИОЛОГИЯ ОБЩЕСТВЕННОГО МНЕНИЯ</t>
  </si>
  <si>
    <t>Тихонова Е.В., Бунов Е.Г.</t>
  </si>
  <si>
    <t>978-5-16-018586-6</t>
  </si>
  <si>
    <t>38.03.04, 39.03.01, 39.04.01, 41.03.04, 41.03.06</t>
  </si>
  <si>
    <t>Рекомендовано в качестве учебника для студентов высших учебных заведений, обучающихся по направлениям подготовки 39.03.01 «Социология», 42.03.01 «Реклама и связи с общественностью» (квалификация (степень) «бакалавр»)</t>
  </si>
  <si>
    <t>293400.07.01</t>
  </si>
  <si>
    <t>Социология общественного мнения: Уч. пос. / Г.И.Козырев - М.: ИД ФОРУМ:  НИЦ ИНФРА-М, 2022-224с.(ВО)</t>
  </si>
  <si>
    <t>978-5-8199-0607-1</t>
  </si>
  <si>
    <t>634156.07.01</t>
  </si>
  <si>
    <t>Социология общественного мнения: Уч.пос. / Г.И.Козырев-М.:ИД Форум, НИЦ ИНФРА-М,2023.-254 с.(ВО)(П)</t>
  </si>
  <si>
    <t>СОЦИОЛОГИЯ ОБЩЕСТВЕННОГО МНЕНИЯ: ОБРАЗ ВРАГА В ИСТОРИИ, ТЕОРИИ И ОБЩЕСТВЕННОМ СОЗНАНИИ</t>
  </si>
  <si>
    <t>978-5-8199-0918-8</t>
  </si>
  <si>
    <t>39.03.02, 39.03.03, 39.04.01, 39.04.03, 44.03.01, 44.03.05</t>
  </si>
  <si>
    <t>Рекомендовано учебно-методическими комиссиями кафедры социологии РХТУ им. Д.И. Менделеева и кафедры политической социологии РГГУ в качестве учебного пособия для студентов высших учебных заведений, обучающихся по специальности 39.03.01 и 39.04.01 «Социология» (бакалавриат, магистратура)</t>
  </si>
  <si>
    <t>334200.02.01</t>
  </si>
  <si>
    <t>Социология политики Освальда Шпенглера: монография / В.В.Афанасьев-М.:НИЦ ИНФРА-М,2018.-192 с..-(Науч.мысль)(О. КБС)</t>
  </si>
  <si>
    <t>СОЦИОЛОГИЯ ПОЛИТИКИ ОСВАЛЬДА ШПЕНГЛЕРА</t>
  </si>
  <si>
    <t>978-5-16-010650-2</t>
  </si>
  <si>
    <t>38.03.01, 38.03.04, 40.03.01, 41.03.05, 41.03.06, 41.04.04, 42.03.01, 44.03.01, 44.03.05, 47.03.01</t>
  </si>
  <si>
    <t>172600.06.01</t>
  </si>
  <si>
    <t>Социология рекламной деятельности: Уч. / А.Б.Оришев - М:ИЦ РИОР:НИЦ Инфра-М,2023-235с.(ВО:Бакалавр.) (п)</t>
  </si>
  <si>
    <t>СОЦИОЛОГИЯ РЕКЛАМНОЙ ДЕЯТЕЛЬНОСТИ</t>
  </si>
  <si>
    <t>978-5-369-01064-8</t>
  </si>
  <si>
    <t>38.03.02, 38.03.06, 42.03.01</t>
  </si>
  <si>
    <t>Допущено Учебно-методическим объединением по образованию в области коммерции и по образованию в области маркетинга в качестве учебника для студентов высших учебных заведений, обучающихся по специальностям 032401 - Реклама, 080111 - Маркетинг и по нап</t>
  </si>
  <si>
    <t>059010.13.01</t>
  </si>
  <si>
    <t>Социология религии: Уч.пос. / В.И.Гараджа - 4 изд. - М.:НИЦ ИНФРА-М,2024 - 304 с.(П)</t>
  </si>
  <si>
    <t>СОЦИОЛОГИЯ РЕЛИГИИ, ИЗД.4</t>
  </si>
  <si>
    <t>Гараджа В.И.</t>
  </si>
  <si>
    <t>978-5-16-003765-3</t>
  </si>
  <si>
    <t>39.03.01, 39.04.01, 47.03.03, 48.03.01</t>
  </si>
  <si>
    <t>Рекомендовано Учебно-методическим объединением по классическому университетскому образованию РФ в качестве учебного пособия для студентов высших учебных заведений, обучающихся по специальности 020300 "Социология"</t>
  </si>
  <si>
    <t>0410</t>
  </si>
  <si>
    <t>395300.06.01</t>
  </si>
  <si>
    <t>Социология семьи: любовь и расчет в брачно-семейных ...: Уч.пос. /Г.И.Козырев -М.:ИД ФОРУМ,НИЦ ИНФРА-М,2024-192с.-(ВО)(о)</t>
  </si>
  <si>
    <t>СОЦИОЛОГИЯ СЕМЬИ: ЛЮБОВЬ И РАСЧЕТ В БРАЧНО-СЕМЕЙНЫХ ОТНОШЕНИЯХ И НЕ ТОЛЬКО..</t>
  </si>
  <si>
    <t>978-5-8199-0636-1</t>
  </si>
  <si>
    <t>39.03.01, 39.03.03, 39.04.01, 39.04.03</t>
  </si>
  <si>
    <t>060200.09.01</t>
  </si>
  <si>
    <t>Социология семьи: Уч. / Под ред. Антонова А.И. - 2 изд., испр. - М.:НИЦ ИНФРА-М,2023 - 637 с.(ВО)(П)</t>
  </si>
  <si>
    <t>СОЦИОЛОГИЯ СЕМЬИ, ИЗД.2</t>
  </si>
  <si>
    <t>Антонов А.И., Дорохина О.В., Медков В.М. и др.</t>
  </si>
  <si>
    <t>978-5-16-014214-2</t>
  </si>
  <si>
    <t>Допущено Советом по социологии, антропологии и организации работы с молодежью учебно-методического обучения по классическому университетскому образованию в качестве учебника для студентов высших учебных заведений, обучающихся по направлению подготовки 39.03.01 «Социология»</t>
  </si>
  <si>
    <t>672656.02.01</t>
  </si>
  <si>
    <t>Социология социальных структур: Уч.пос. / И.И.Подойницына -М.:НИЦ ИНФРА-М,2023-265с.(ВО:Магистр.)(П)</t>
  </si>
  <si>
    <t>СОЦИОЛОГИЯ СОЦИАЛЬНЫХ СТРУКТУР</t>
  </si>
  <si>
    <t>Подойницына И.И.</t>
  </si>
  <si>
    <t>978-5-16-014293-7</t>
  </si>
  <si>
    <t>39.04.01, 41.04.04, 51.04.01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</si>
  <si>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39.04.01 «Социология», 41.04.01. «Политология», 51.04.01 «Культурология» (квалификация (степень) «магистр») (протокол № 9 от 13.05.2019)</t>
  </si>
  <si>
    <t>Северо-Восточный федеральный университет им. М.К. Аммосова</t>
  </si>
  <si>
    <t>449950.05.01</t>
  </si>
  <si>
    <t>Социология труда: Уч. пос. / К.Э. Оксинойд. - М.: НИЦ ИНФРА-М, 2023. - 350 с.(ВО) (П)</t>
  </si>
  <si>
    <t>СОЦИОЛОГИЯ ТРУДА</t>
  </si>
  <si>
    <t>Оксинойд К. Э.</t>
  </si>
  <si>
    <t>978-5-16-005498-8</t>
  </si>
  <si>
    <t>38.03.01, 38.03.02, 38.03.03, 38.04.02, 38.04.03, 41.03.06</t>
  </si>
  <si>
    <t>Допущено Советом учебно-методического объединения по образованию в области менеджмента в качестве учебного пособия по направлению «Менеджмент»</t>
  </si>
  <si>
    <t>646273.07.01</t>
  </si>
  <si>
    <t>Социология управления: Уч. / А.А.Николаев - М.:НИЦ ИНФРА-М,2024 - 317 с.-(ВО)(п)</t>
  </si>
  <si>
    <t>СОЦИОЛОГИЯ УПРАВЛЕНИЯ</t>
  </si>
  <si>
    <t>Николаев А.А.</t>
  </si>
  <si>
    <t>978-5-16-019252-9</t>
  </si>
  <si>
    <t>38.03.02, 38.03.04, 39.03.01</t>
  </si>
  <si>
    <t>Рекомендовано в качестве учебника  для студентов высших учебных заведений, обучающихся по направлениям подготовки 38.03.02 «Менеджмент», 38.03.04 «Государственное и муниципальное управление», 39.03.01 «Социология» (квалификация (степень) «бакалавр»)</t>
  </si>
  <si>
    <t>376300.04.01</t>
  </si>
  <si>
    <t>Социология управления: Уч.пос. / Е.П.Тавокин - М.:НИЦ ИНФРА-М,2023 - 202с.(ВО:Бакалавр.)(п)</t>
  </si>
  <si>
    <t>ТавокинЕ.П.</t>
  </si>
  <si>
    <t>978-5-16-011094-3</t>
  </si>
  <si>
    <t>38.03.02, 38.03.03, 38.03.04, 39.03.01</t>
  </si>
  <si>
    <t>Рекомендовано в качестве учебного пособия для студентов высших учебных заведений, обучающихся по направлениям подготовки 38.03.02 «Менеджмент», 38.03.03 «Управление персоналом», 38.03.04 «Государственное и муниципальное управление», 39.03.01 «Социология» (квалификация (степень) «бакалавр»)</t>
  </si>
  <si>
    <t>054840.13.01</t>
  </si>
  <si>
    <t>Социология. Общий курс: Уч. / В.И. Кондауров, А.С. Страданченков - М.: НИЦ Инфра-М, 2018-332с(ВО)(п)</t>
  </si>
  <si>
    <t>СОЦИОЛОГИЯ. ОБЩИЙ КУРС</t>
  </si>
  <si>
    <t>Кондауров В. И., Страданченков А. С., Багдасарова Н. В., Коханов Е. Ф., Ионцева М. В., Куртиков Н. А., Симоненко С. И., Захаров М. Ю.</t>
  </si>
  <si>
    <t>978-5-16-005720-0</t>
  </si>
  <si>
    <t>00.03.10, 00.05.10, 38.03.01, 38.03.02, 38.03.04</t>
  </si>
  <si>
    <t>Допущено Министерством образования РФ в качестве учебника для студентов высших учебных заведений</t>
  </si>
  <si>
    <t>054840.20.01</t>
  </si>
  <si>
    <t>Социология. Общий курс: Уч. / Под ред. Страданченкова А.С., - 2 изд.-М.:НИЦ ИНФРА-М,2024.-391с(П)</t>
  </si>
  <si>
    <t>СОЦИОЛОГИЯ. ОБЩИЙ КУРС, ИЗД.2</t>
  </si>
  <si>
    <t>Багдасарова Н.В., Захаров М.Ю., Ионцева М.В. и др.</t>
  </si>
  <si>
    <t>978-5-16-018631-3</t>
  </si>
  <si>
    <t>Рекомендовано Учебно-методическим советом ВО в качестве учебника для студентов высших учебных заведений, обучающихся по направлениям подготовки 38.03.04 «Государственное и муниципальное управление», 38.03.01 «Экономика», 38.03.02 «Менеджмент» (квалификация (степень) «бакалавр»)</t>
  </si>
  <si>
    <t>035700.16.01</t>
  </si>
  <si>
    <t>Социология. Основы общей теории: Уч. / Отв. ред. Г.В.Осипов -2 изд. -М.: НОРМА: НИЦ ИНФРА-М, 2024 -912с.(П)</t>
  </si>
  <si>
    <t>СОЦИОЛОГИЯ. ОСНОВЫ ОБЩЕЙ ТЕОРИИ, ИЗД.2</t>
  </si>
  <si>
    <t>Осипов Г.В., Москвичев Л.Н.</t>
  </si>
  <si>
    <t>978-5-91768-597-7</t>
  </si>
  <si>
    <t>374000.04.01</t>
  </si>
  <si>
    <t>Социология: соц. институты, структура...: Уч./С.И.Самыгин-М.:ИЦ РИОР,НИЦ ИНФРА-М,2023-252с.(ВО)(П)</t>
  </si>
  <si>
    <t>СОЦИОЛОГИЯ: СОЦИАЛЬНЫЕ ИНСТИТУТЫ, СТРУКТУРА И ПРОЦЕССЫ</t>
  </si>
  <si>
    <t>Самыгин С.И., Воденко К.В.</t>
  </si>
  <si>
    <t>978-5-369-01535-3</t>
  </si>
  <si>
    <t>00.03.10, 39.03.01, 39.03.02, 39.03.03, 39.04.01, 39.04.02, 39.04.03, 44.03.01, 44.03.05</t>
  </si>
  <si>
    <t>Рекомендовано У МО РАЕ по классичеекому университетскому и техническому образованию в качестве учебника для социально-экономических направлений подготовки (бакалавриат)</t>
  </si>
  <si>
    <t>657559.06.01</t>
  </si>
  <si>
    <t>Социология: теория, методолог., практ.: Уч. /Под ред. Кального И.И.-М.:Вуз.уч.,НИЦ ИНФРА-М,2023-348с</t>
  </si>
  <si>
    <t>СОЦИОЛОГИЯ: ТЕОРИЯ, МЕТОДОЛОГИЯ, ПРАКТИКА</t>
  </si>
  <si>
    <t>Чигрин В.А., Сурмин Ю.П., Щербина В.Н. и др.</t>
  </si>
  <si>
    <t>978-5-9558-0572-6</t>
  </si>
  <si>
    <t>050500.19.01</t>
  </si>
  <si>
    <t>Социология: Уч. / В.И.Добреньков - М.:НИЦ ИНФРА-М,2023 - 624 с.(ВО: Бакалавриат)(П)</t>
  </si>
  <si>
    <t>СОЦИОЛОГИЯ</t>
  </si>
  <si>
    <t>Добреньков В.И., Кравченко А.И.</t>
  </si>
  <si>
    <t>978-5-16-003522-2</t>
  </si>
  <si>
    <t>Допущено Министерством образования Российской Федерации в качестве учебника для студентов высших учебных заведений, обучающихся по социологическим специальностям</t>
  </si>
  <si>
    <t>120600.09.01</t>
  </si>
  <si>
    <t>Социология: Уч. / Ю.Г.Волков, - 5 изд.-М.:Альфа-М, НИЦ ИНФРА-М,2024.-512 с.(Бакалавриат)(п)</t>
  </si>
  <si>
    <t>СОЦИОЛОГИЯ, ИЗД.5</t>
  </si>
  <si>
    <t>Волков Ю. Г.</t>
  </si>
  <si>
    <t>978-5-98281-415-9</t>
  </si>
  <si>
    <t>Рекомендовано УМО по классическому университетскому образованию к изданию в качестве учебника для студентов высших учебных заведений, обучающихся по направлению "Социология"</t>
  </si>
  <si>
    <t>0515</t>
  </si>
  <si>
    <t>094350.08.01</t>
  </si>
  <si>
    <t>Социология: Уч. пос. / С.В.Соколов - М.:Форум, 2023 - 400 с.-(ВО) (П)</t>
  </si>
  <si>
    <t>Соколов С. В.</t>
  </si>
  <si>
    <t>978-5-91134-219-7</t>
  </si>
  <si>
    <t>Рекомендовано социологическим факультетом Российского гуманитарного универститета в качестве учебного пособия для студентов высших учебных заведений</t>
  </si>
  <si>
    <t>186200.10.01</t>
  </si>
  <si>
    <t>Социология: Уч. пос. / Ф.А.Игебаева-М.:НИЦ ИНФРА-М,2024.-236 с.(ВО)(п)</t>
  </si>
  <si>
    <t>Игебаева Ф. А.</t>
  </si>
  <si>
    <t>978-5-16-019026-6</t>
  </si>
  <si>
    <t>Допущено Учебно-методическим объединением по классическому университетскому образованию к изданию в качестве учебного пособия для студентов высших учебных заведений, обучающихся по специальности 39.03.01 (040200) "Социология"</t>
  </si>
  <si>
    <t>Башкирский государственный аграрный университет</t>
  </si>
  <si>
    <t>446650.04.01</t>
  </si>
  <si>
    <t>Социология: Уч.пос. / А.Б.Оришев - 2 изд. - М.:ИЦ РИОР, НИЦ ИНФРА-М,2018.-224 с.(ВО: Бакалавриат)</t>
  </si>
  <si>
    <t>СОЦИОЛОГИЯ, ИЗД.2</t>
  </si>
  <si>
    <t>Оришев А.Б.</t>
  </si>
  <si>
    <t>978-5-369-01457-8</t>
  </si>
  <si>
    <t>00.03.10, 00.05.10, 38.03.01, 38.03.02, 38.03.03, 39.03.01, 39.03.02, 39.03.03</t>
  </si>
  <si>
    <t>Допущено в качестве учебного пособия для студентов-бакалавров, обучающихся по направлениям подготовки 081100 «Государственное и муниципальное управление", 080400 «Управление персоналом», 080200 «Менеджмент», 040400 «Социальная работа», 040700 «Органи</t>
  </si>
  <si>
    <t>446650.07.01</t>
  </si>
  <si>
    <t>Социология: Уч.пос. / А.Б.Оришев, - 3 изд.-М.:ИЦ РИОР, НИЦ ИНФРА-М,2024.-260 с..-(ВО)(П)</t>
  </si>
  <si>
    <t>СОЦИОЛОГИЯ, ИЗД.3</t>
  </si>
  <si>
    <t>978-5-369-01863-7</t>
  </si>
  <si>
    <t>745707.04.01</t>
  </si>
  <si>
    <t>Социология: Уч.пос. / Г.А.Ельникова - 2 изд. - М.:НИЦ ИНФРА-М,2023 - 211 с.(ВО: Специалитет)(П)</t>
  </si>
  <si>
    <t>Ельникова Г.А., Лаамарти Ю.А.</t>
  </si>
  <si>
    <t>978-5-16-016550-9</t>
  </si>
  <si>
    <t>00.05.10, 38.05.01, 38.05.02, 40.05.01, 40.05.02, 40.05.03, 40.05.04</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</si>
  <si>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программам специалитета (протокол № 8 от 22.06.2020)</t>
  </si>
  <si>
    <t>640223.07.01</t>
  </si>
  <si>
    <t>Социология: Уч.пос. / Г.А.Ельникова - 2 изд.- М.:НИЦ ИНФРА-М,2023 - 211 с.-(ВО)(П)</t>
  </si>
  <si>
    <t>978-5-16-016199-0</t>
  </si>
  <si>
    <t>00.03.10, 00.05.10, 39.03.02, 39.03.03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</si>
  <si>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несоциологическим направлениям подготовки (квалификация (степень) «бакалавр») (протокол № 5 от 16.03.2020)</t>
  </si>
  <si>
    <t>640223.04.01</t>
  </si>
  <si>
    <t>Социология: Уч.пос. / Г.А.Ельникова - М.:НИЦ ИНФРА-М,2020 - 181 с.-(ВО: Бакалавриат)(О)</t>
  </si>
  <si>
    <t>Ельникова Г.А.</t>
  </si>
  <si>
    <t>978-5-16-010442-3</t>
  </si>
  <si>
    <t>Рекомендовано в качестве учебного пособия для студентов высших учебных заведений, обучающихся по несоциологическим направлениям подготовки (квалификация (степень) «бакалавр»)</t>
  </si>
  <si>
    <t>118150.07.01</t>
  </si>
  <si>
    <t>Социология: Уч.пос. / Г.И.Козырев - 2 изд. - М.:ИД ФОРУМ,НИЦ ИНФРА-М,2023 - 320 с.-(ВО)(П)</t>
  </si>
  <si>
    <t>978-5-8199-0405-3</t>
  </si>
  <si>
    <t>Допущено учебно-методическим объединением по классическому университетскому образованию РФ в качестве учебного пособия для студентов высших учебных заведений, обучающихся по специальности "Социология" и  "Социальная антропология"</t>
  </si>
  <si>
    <t>428600.07.01</t>
  </si>
  <si>
    <t>Социология: Уч.пос. / Е.П.Тавокин-М.:НИЦ ИНФРА-М,2023.-202 с.(ВО: Бакалавриат)(П)</t>
  </si>
  <si>
    <t>978-5-16-006379-9</t>
  </si>
  <si>
    <t>38.03.01, 38.03.02, 38.03.03, 38.03.04, 39.03.01, 39.03.02, 39.03.03, 39.04.01, 44.03.01, 44.03.05</t>
  </si>
  <si>
    <t>Рекомендовано Учебно-методическим объединением вузов России по образованию в области экономики и экономической теории в качестве учебника для студентов высших учебных заведений, обучающихся по направлению подготовки 080100 «Экономика». Квалификация (</t>
  </si>
  <si>
    <t>646423.11.01</t>
  </si>
  <si>
    <t>Специальная и общая философия науки: Энц. словарь / В.А.Канке - М.:НИЦ ИНФРА-М,2024 - 630 с.(П)</t>
  </si>
  <si>
    <t>СПЕЦИАЛЬНАЯ И ОБЩАЯ ФИЛОСОФИЯ НАУКИ: ЭНЦИКЛОПЕДИЧЕСКИЙ СЛОВАРЬ</t>
  </si>
  <si>
    <t>978-5-16-012809-2</t>
  </si>
  <si>
    <t>44.00.00, 38.04.01, 38.04.02, 38.04.03, 38.04.04, 38.04.05, 40.04.01, 44.04.01, 44.04.02, 44.04.03, 44.04.04, 47.03.01, 47.04.01</t>
  </si>
  <si>
    <t>092150.03.01</t>
  </si>
  <si>
    <t>Специальная психология: Шпаргалка -М.:ИЦ РИОР, НИЦ ИНФРА-М, -96 с..-(Шпаргалка [отрывная])(О)</t>
  </si>
  <si>
    <t>СПЕЦИАЛЬНАЯ ПСИХОЛОГИЯ</t>
  </si>
  <si>
    <t>978-5-369-00577-4</t>
  </si>
  <si>
    <t>37.03.01, 44.03.03, 49.03.02</t>
  </si>
  <si>
    <t>429200.10.01</t>
  </si>
  <si>
    <t>Специальные пробл.психолог.консульт.: Уч.пос. / О.О.Андронникова-2 изд.М.:НИЦ ИНФРА-М,2024-352с.(П)</t>
  </si>
  <si>
    <t>СПЕЦИАЛЬНЫЕ ПРОБЛЕМЫ  ПСИХОЛОГИЧЕСКОГО КОНСУЛЬТИРОВАНИЯ, ИЗД.2</t>
  </si>
  <si>
    <t>978-5-16-016165-5</t>
  </si>
  <si>
    <t>37.03.01, 37.04.01, 37.05.01, 44.03.01, 44.03.02, 44.03.05, 44.04.01, 44.04.02</t>
  </si>
  <si>
    <t>429200.06.01</t>
  </si>
  <si>
    <t>Специальные пробл.психолог.консульт.:Уч.пос./О.О.Андронникова-Вуз.уч.,НИЦ ИНФРА-М,2019-348с(Вуз.уч.)</t>
  </si>
  <si>
    <t>СПЕЦИАЛЬНЫЕ ПРОБЛЕМЫ ПСИХОЛОГИЧЕСКОГО КОНСУЛЬТИРОВАНИЯ</t>
  </si>
  <si>
    <t>978-5-9558-0254-1</t>
  </si>
  <si>
    <t>679490.03.01</t>
  </si>
  <si>
    <t>Специфика культурологической интерпрет. от теор.:Моногр. /Н.А.Симбирцева-М.:НИЦ ИНФРА-М,2023-233с</t>
  </si>
  <si>
    <t>СПЕЦИФИКА КУЛЬТУРОЛОГИЧЕСКОЙ ИНТЕРПРЕТАЦИИ: ОТ ТЕОРИИ К ПРАКТИКЕ</t>
  </si>
  <si>
    <t>Симбирцева Н.А.</t>
  </si>
  <si>
    <t>978-5-16-013761-2</t>
  </si>
  <si>
    <t>51.03.01, 51.03.02, 51.03.03, 51.03.04</t>
  </si>
  <si>
    <t>662953.03.01</t>
  </si>
  <si>
    <t>Сравнительно-историческая риторика: Уч. / А.К.Михальская, - 2 изд.-М.:НИЦ ИНФРА-М,2024-294с(ВО)(П)</t>
  </si>
  <si>
    <t>СРАВНИТЕЛЬНО-ИСТОРИЧЕСКАЯ РИТОРИКА, ИЗД.2</t>
  </si>
  <si>
    <t>978-5-16-013862-6</t>
  </si>
  <si>
    <t>37.03.01, 44.03.05, 45.03.01</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</si>
  <si>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52.05.04 «Литературное творчество» (квалификация «литературный работник») (протокол № 4 от 25.02.2019)</t>
  </si>
  <si>
    <t>436150.05.01</t>
  </si>
  <si>
    <t>Сравнительно-историческая риторика: Уч.пос. / А.К.Михальская-М.:Форум, НИЦ ИНФРА-М,2023.-320 с.(ВО)(О)</t>
  </si>
  <si>
    <t>СРАВНИТЕЛЬНО-ИСТОРИЧЕСКАЯ РИТОРИКА</t>
  </si>
  <si>
    <t>Михальская А. К.</t>
  </si>
  <si>
    <t>978-5-91134-740-6</t>
  </si>
  <si>
    <t>706088.01.01</t>
  </si>
  <si>
    <t>Стабилизация как этап эволюции соц. сис.: Моногр. / И.В.Ситнова-М.:НИЦ ИНФРА-М,2022.-140 с.(О)</t>
  </si>
  <si>
    <t>СТАБИЛИЗАЦИЯ КАК ЭТАП ЭВОЛЮЦИИ СОЦИАЛЬНОЙ СИСТЕМЫ</t>
  </si>
  <si>
    <t>978-5-16-015583-8</t>
  </si>
  <si>
    <t>169550.05.01</t>
  </si>
  <si>
    <t>Становление гос. Древнего Новгорода.: Моногр. /М.В.Амосов -2изд.-М.:ИЦ РИОР,НИЦ ИНФРА-М,2023-204с(о)</t>
  </si>
  <si>
    <t>СТАНОВЛЕНИЕ ГОСУДАРСТВЕННОСТИ ДРЕВНЕГО НОВГОРОДА И МОНУМЕНТАЛЬНОГО ЗОДЧЕСТВА, ИЗД.2</t>
  </si>
  <si>
    <t>Амосов М.В.</t>
  </si>
  <si>
    <t>978-5-369-01141-6</t>
  </si>
  <si>
    <t>07.03.01, 07.03.03, 07.04.01, 07.04.03, 44.03.01, 44.03.05, 46.03.01, 46.03.02, 46.04.01, 46.04.02, 51.03.04, 51.04.04, 54.03.04, 54.04.04</t>
  </si>
  <si>
    <t>Театр Классического Балета Наталии Касаткиной и Владимира Василёва</t>
  </si>
  <si>
    <t>301400.08.01</t>
  </si>
  <si>
    <t>Становление информационного общества в России...: Уч. пос. / Г.В.Осипов - Норма: ИНФРА-М, 2024-304с.(п)</t>
  </si>
  <si>
    <t>СТАНОВЛЕНИЕ ИНФОРМАЦИОННОГО ОБЩЕСТВА В РОССИИ И ЗА РУБЕЖОМ</t>
  </si>
  <si>
    <t>Осипов Г.В., Лисичкин В.А., Вирин М.М. и др.</t>
  </si>
  <si>
    <t>978-5-91768-534-2</t>
  </si>
  <si>
    <t>38.03.01, 38.03.02, 38.03.03, 38.03.04, 38.03.05, 38.03.06, 38.03.07, 38.04.01, 38.04.02, 38.04.03, 38.04.04, 38.04.05, 38.04.06, 38.04.07, 38.05.01, 38.05.02, 46.03.02</t>
  </si>
  <si>
    <t>801387.01.01</t>
  </si>
  <si>
    <t>Старообрядцы в России: история и совр., экономика...: Моногр. / В.П.Столбов-М.:НИЦ ИНФРА-М,2024.-212 с(п)</t>
  </si>
  <si>
    <t>СТАРООБРЯДЦЫ В РОССИИ: ИСТОРИЯ И СОВРЕМЕННОСТЬ, ЭКОНОМИКА, ЭТИКА, СОЦИАЛЬНАЯ БЛАГОТВОРИТЕЛЬНОСТЬ</t>
  </si>
  <si>
    <t>Столбов В.П.</t>
  </si>
  <si>
    <t>978-5-16-018695-5</t>
  </si>
  <si>
    <t>38.04.01, 38.06.01, 46.04.01</t>
  </si>
  <si>
    <t>777260.01.01</t>
  </si>
  <si>
    <t>Старославянский язык: Уч.пос. / Е.Н.Соколова-М.:НИЦ ИНФРА-М,2024.-189 с.(ВО)(п)</t>
  </si>
  <si>
    <t>СТАРОСЛАВЯНСКИЙ ЯЗЫК</t>
  </si>
  <si>
    <t>Соколова Е.Н., Ушакова А.П.</t>
  </si>
  <si>
    <t>978-5-16-017720-5</t>
  </si>
  <si>
    <t>Допущено УМО по классическому университетскому образованию в качестве учебного пособия для студентов высших учебных заведений, обучающихся по направлению 45.03.01 «Филология»</t>
  </si>
  <si>
    <t>412950.06.01</t>
  </si>
  <si>
    <t>Стилистика и культура русской речи: Уч./Т.Я.Анохина - М.: Форум:  НИЦ ИНФРА-М, 2023-320с.(ВО) (п)</t>
  </si>
  <si>
    <t>СТИЛИСТИКА И КУЛЬТУРА РУССКОЙ РЕЧИ</t>
  </si>
  <si>
    <t>Анохина Т. Я., Гонтарева О. П., Дашевская Е. И., Змазнева О. А., Анохина Т. Я.</t>
  </si>
  <si>
    <t>978-5-91134-717-8</t>
  </si>
  <si>
    <t>Рекомендовано федеральным государственным бюджетным образовательным учреждением высшего профессионального образования «Московский государственный университет печати имени Ивана Федорова» в качестве учебника для студентов высших учебных заведений, обучающихся по нефилологическим специальностям</t>
  </si>
  <si>
    <t>776813.01.01</t>
  </si>
  <si>
    <t>Стихотворение-каталог в немецкоязычной поэзии: Моногр. / Т.Н.Андреюшкина-М.:НИЦ ИНФРА-М,2022.-144 с.(О)</t>
  </si>
  <si>
    <t>СТИХОТВОРЕНИЕ-КАТАЛОГ В НЕМЕЦКОЯЗЫЧНОЙ ПОЭЗИИ XX ВЕКА</t>
  </si>
  <si>
    <t>Андреюшкина Т.Н.</t>
  </si>
  <si>
    <t>978-5-16-017703-8</t>
  </si>
  <si>
    <t>45.03.01, 45.06.01</t>
  </si>
  <si>
    <t>Тольяттинский государственный университет</t>
  </si>
  <si>
    <t>694769.04.01</t>
  </si>
  <si>
    <t>Стихотворный текст: междисциплин. интерпр.: Моногр. / Л.Н.Синельникова -М:НИЦ ИНФРА-М,2024-267с(о)</t>
  </si>
  <si>
    <t>СТИХОТВОРНЫЙ ТЕКСТ: МЕЖДИСЦИПЛИНАРНАЯ ИНТЕРПРЕТАЦИЯ</t>
  </si>
  <si>
    <t>Синельникова Л.Н.</t>
  </si>
  <si>
    <t>978-5-16-018909-3</t>
  </si>
  <si>
    <t>431100.05.01</t>
  </si>
  <si>
    <t>Страдание и его роль в культуре: Моногр. / Ю.М. Антонян - М.:Норма:НИЦ Инфра-М,2020 - 224 с.(О)</t>
  </si>
  <si>
    <t>СТРАДАНИЕ И ЕГО РОЛЬ В КУЛЬТУРЕ</t>
  </si>
  <si>
    <t>Антонян Ю. М.</t>
  </si>
  <si>
    <t>978-5-91768-356-0</t>
  </si>
  <si>
    <t>47.03.01, 47.04.01, 51.04.01</t>
  </si>
  <si>
    <t>Всероссийский научно-исследовательский институт Министерства внутренних дел Российской Федерации</t>
  </si>
  <si>
    <t>208400.10.01</t>
  </si>
  <si>
    <t>Страна своя и чужая: идея патриотизма.: Моногр./С.Г.Воркачев-М.:НИЦ ИНФРА-М,2024-151с(Науч.мысль)(о)</t>
  </si>
  <si>
    <t>СТРАНА СВОЯ И ЧУЖАЯ: ИДЕЯ ПАТРИОТИЗМА В ЛИНГВОКУЛЬТУРЕ</t>
  </si>
  <si>
    <t>Воркачев С. Г.</t>
  </si>
  <si>
    <t>978-5-16-006811-4</t>
  </si>
  <si>
    <t>45.03.02, 45.03.03, 45.04.02</t>
  </si>
  <si>
    <t>148350.09.01</t>
  </si>
  <si>
    <t>Стратегические просчеты российск. полит. элиты: Моногр. / А.Д.Керимов-М.:Юр.Норма,НИЦ ИНФРА-М,2023-48(о)</t>
  </si>
  <si>
    <t>СТРАТЕГИЧЕСКИЕ ПРОСЧЕТЫ РОССИЙСКОЙ ПОЛИТИЧЕСКОЙ ЭЛИТЫ</t>
  </si>
  <si>
    <t>978-5-91768-156-6</t>
  </si>
  <si>
    <t>38.03.04, 40.03.01, 41.03.05, 41.03.06, 41.04.04, 44.03.01, 44.03.05, 47.03.01</t>
  </si>
  <si>
    <t>176900.11.01</t>
  </si>
  <si>
    <t>Стратегия национал. безопасности России..: Моногр. / С.Н.Бабурин-М:Магистр,НИЦ ИНФРА-М,2023 -512с(О)</t>
  </si>
  <si>
    <t>СТРАТЕГИЯ НАЦИОНАЛЬНОЙ БЕЗОПАСНОСТИ РОССИИ: ТЕОРЕТИКО-МЕТОДОЛОГИЧЕСКИЕ АСПЕКТЫ</t>
  </si>
  <si>
    <t>Бабурин С.Н., Дзлиев М.И., Урсул А.Д.</t>
  </si>
  <si>
    <t>978-5-9776-0224-2</t>
  </si>
  <si>
    <t>38.05.01</t>
  </si>
  <si>
    <t>670751.03.01</t>
  </si>
  <si>
    <t>Стратификационная система общества:...Моногр. /В.Х.Беленький-М.:НИЦ ИНФРА-М,СФУ,2023-244с(П)</t>
  </si>
  <si>
    <t>СТРАТИФИКАЦИОННАЯ СИСТЕМА ОБЩЕСТВА: НЕКОТОРЫЕ ВОПРОСЫ ТЕОРИИ И ПРАКТИКИ</t>
  </si>
  <si>
    <t>Беленький В.Х.</t>
  </si>
  <si>
    <t>978-5-16-013420-8</t>
  </si>
  <si>
    <t>39.04.01, 39.06.01, 39.07.01</t>
  </si>
  <si>
    <t>703455.03.01</t>
  </si>
  <si>
    <t>Строительство городских объектов озеленения: Уч. / М.М.Фатиев - М.:Форум,НИЦ ИНФРА-М,2022 - 205 с(СПО)(П)</t>
  </si>
  <si>
    <t>СТРОИТЕЛЬСТВО ГОРОДСКИХ ОБЪЕКТОВ ОЗЕЛЕНЕНИЯ</t>
  </si>
  <si>
    <t>Фатиев М.М.</t>
  </si>
  <si>
    <t>978-5-00091-662-9</t>
  </si>
  <si>
    <t>Рекомендовано Учебно-методическим объединением по образованию в области лесного дела по специальности «Садово-парковое и ландшафтное строительство»</t>
  </si>
  <si>
    <t>403700.12.01</t>
  </si>
  <si>
    <t>Строительство городских объектов озеленения: Уч./М.М.Фатиев - М.: Форум: НИЦ Инфра-М, 2024-208с.(ВО) (п)</t>
  </si>
  <si>
    <t>Фатиев М. М.</t>
  </si>
  <si>
    <t>978-5-91134-682-9</t>
  </si>
  <si>
    <t>08.02.14, 08.03.01, 35.03.10, 35.04.09</t>
  </si>
  <si>
    <t>464900.06.01</t>
  </si>
  <si>
    <t>Структурно-планиров. реорганиз.совр. городов: Уч.пос./Д.Б.Веретенников -М:НИЦ ИНФРА-М,2024-88с(ВО)(о)</t>
  </si>
  <si>
    <t>СТРУКТУРНО-ПЛАНИРОВОЧНАЯ РЕОРГАНИЗАЦИЯ СОВРЕМЕННЫХ ГОРОДОВ</t>
  </si>
  <si>
    <t>978-5-16-018883-6</t>
  </si>
  <si>
    <t>Рекомендовано в качестве учебного пособия для студентов высших учебных заведений, обучающихся по направлению подготовки 07.03.01 «Архитектура»</t>
  </si>
  <si>
    <t>465100.06.01</t>
  </si>
  <si>
    <t>Структуроформирование мегаполисов: Уч.пос. / Д.Б.Веретенников-М.:Форум, НИЦ ИНФРА-М,2024.-112с(ВО)(О)</t>
  </si>
  <si>
    <t>СТРУКТУРОФОРМИРОВАНИЕ МЕГАПОЛИСОВ</t>
  </si>
  <si>
    <t>978-5-00091-685-8</t>
  </si>
  <si>
    <t>Рекомендовано в качестве учебного пособия для студентов высших учебных заведений, обучающихся по специальности 07.04.01 «Архитектура»</t>
  </si>
  <si>
    <t>694887.02.01</t>
  </si>
  <si>
    <t>Студенческий корпоративизм: испытания на прочность: Моногр. / Л.О.Терновая-М.:НИЦ ИНФРА-М,2023-383с.</t>
  </si>
  <si>
    <t>СТУДЕНЧЕСКИЙ КОРПОРАТИВИЗМ: ИСПЫТАНИЯ НА ПРОЧНОСТЬ</t>
  </si>
  <si>
    <t>978-5-16-014587-7</t>
  </si>
  <si>
    <t>39.03.03, 39.04.02, 39.04.03</t>
  </si>
  <si>
    <t>699274.05.01</t>
  </si>
  <si>
    <t>Судьба Евросоюза и уроки для Рос.: Моногр. / Под ред. Гулякова А.Д., - 2 изд.-М.:ИЦ РИОР, НИЦ ИНФРА-М,2023.-304 с.(П)</t>
  </si>
  <si>
    <t>СУДЬБА ЕВРОСОЮЗА И УРОКИ ДЛЯ РОССИИ, ИЗД.2</t>
  </si>
  <si>
    <t>Саломатин А.Ю., Гуляков А.Д., Малько А.В.</t>
  </si>
  <si>
    <t>978-5-369-01881-1</t>
  </si>
  <si>
    <t>38.04.01, 38.06.01, 40.04.01, 40.06.01, 41.04.01, 41.04.04, 41.04.05, 41.06.01</t>
  </si>
  <si>
    <t>699274.02.01</t>
  </si>
  <si>
    <t>Судьба Евросоюза и уроки для России / Под ред. Гулякова А.Д. - М.:ИЦ РИОР, НИЦ ИНФРА-М,2020-248с(П)</t>
  </si>
  <si>
    <t>СУДЬБА ЕВРОСОЮЗА И УРОКИ ДЛЯ РОССИИ</t>
  </si>
  <si>
    <t>978-5-369-01797-5</t>
  </si>
  <si>
    <t>221600.05.01</t>
  </si>
  <si>
    <t>Судьба французского языка в Африке..: Моногр./ Ж.Багана - М.: НИЦ ИНФРА-М, 2023-150с.(Научная мысль) (о)</t>
  </si>
  <si>
    <t>СУДЬБА ФРАНЦУЗСКОГО ЯЗЫКА В АФРИКЕ: СОЦИОЛИНГВИСТИЧЕСКИЕ И ЛИНГВОКУЛЬТУРОЛОГИЧЕСКИЕ ОСОБЕННОСТИ</t>
  </si>
  <si>
    <t>Багана Ж., Лангнер А. Н.</t>
  </si>
  <si>
    <t>978-5-16-008974-4</t>
  </si>
  <si>
    <t>694971.01.01</t>
  </si>
  <si>
    <t>США в Новое время: общество, гос. и право: Уч.пос.: Ч.2 / Т.В.Алентьева - М.:НИЦ ИНФРА-М,2022 - 355 с.(П)</t>
  </si>
  <si>
    <t>США В НОВОЕ ВРЕМЯ: ОБЩЕСТВО, ГОСУДАРСТВО И ПРАВО. ЧАСТЬ 2. 1800-1877 ГОДЫ</t>
  </si>
  <si>
    <t>978-5-16-014590-7</t>
  </si>
  <si>
    <t>40.03.01, 41.03.01, 41.03.05, 46.03.01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</si>
  <si>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40.03.01 «Юриспруденция», 41.03.05 «Международные отношения», 46.03.01 «История» (квалификация (степень) «бакалавр») (протокол № 11 от 09.11.2020)</t>
  </si>
  <si>
    <t>670745.05.01</t>
  </si>
  <si>
    <t>Сюжетная типология русской литературы XI-XX в.: Моногр. / В.К.Васильев - М.:НИЦ ИНФРА-М,2024-259с(П)</t>
  </si>
  <si>
    <t>СЮЖЕТНАЯ ТИПОЛОГИЯ РУССКОЙ ЛИТЕРАТУРЫ XI-XX ВЕКОВ (АРХЕТИПЫ РУССКОЙ КУЛЬТУРЫ). ОТ СРЕДНЕВЕКОВЬЯ К НОВОМУ ВРЕМЕНИ</t>
  </si>
  <si>
    <t>Васильев В.К.</t>
  </si>
  <si>
    <t>978-5-16-017631-4</t>
  </si>
  <si>
    <t>632775.02.01</t>
  </si>
  <si>
    <t>Тайные орг.в контексте соц.изм.: Моногр. / В.Г.Немировский -М.:НИЦ ИНФРА-М,2022-272с.(Науч.мысль)(П)</t>
  </si>
  <si>
    <t>ТАЙНЫЕ ОРГАНИЗАЦИИ В КОНТЕКСТЕ СОЦИАЛЬНЫХ ИЗМЕНЕНИЙ. ПОСТНЕКЛАССИЧЕСКИЙ ПОДХОД</t>
  </si>
  <si>
    <t>978-5-16-012033-1</t>
  </si>
  <si>
    <t>696565.03.01</t>
  </si>
  <si>
    <t>Творческое наследие К.Маркса и соврем. философия: Моногр. / С.А.Нижников - М.:НИЦ ИНФРА-М,2022 - 199 с(О)</t>
  </si>
  <si>
    <t>ТВОРЧЕСКОЕ НАСЛЕДИЕ К. МАРКСА И СОВРЕМЕННАЯ ФИЛОСОФИЯ</t>
  </si>
  <si>
    <t>Нижников С.А., Лагунов А.А., Гобозов И.А. и др.</t>
  </si>
  <si>
    <t>Научная мысль - 100 лет ФУ</t>
  </si>
  <si>
    <t>978-5-16-016393-2</t>
  </si>
  <si>
    <t>678270.05.01</t>
  </si>
  <si>
    <t>Театр героев А.П.Чехова: Моногр. / К.В.Борисова - М.:НИЦ ИНФРА-М,2023 - 112 с.(Науч.мысль)(О)</t>
  </si>
  <si>
    <t>ТЕАТР ГЕРОЕВ А.П.ЧЕХОВА</t>
  </si>
  <si>
    <t>Борисова К.В.</t>
  </si>
  <si>
    <t>978-5-16-013647-9</t>
  </si>
  <si>
    <t>41.03.06, 42.03.02, 42.03.03, 42.03.04, 44.03.05, 45.03.01</t>
  </si>
  <si>
    <t>699334.03.01</t>
  </si>
  <si>
    <t>Театральная школа: современные смыслы: Уч.пос. / А.С.Кузин - М.:НИЦ ИНФРА-М,2024 - 284 с.(П)</t>
  </si>
  <si>
    <t>ТЕАТРАЛЬНАЯ ШКОЛА: СОВРЕМЕННЫЕ СМЫСЛЫ</t>
  </si>
  <si>
    <t>Кузин А.С.</t>
  </si>
  <si>
    <t>978-5-16-014959-2</t>
  </si>
  <si>
    <t>52.05.01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</si>
  <si>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и направлений 52.00.00 «Сценические искусства и литературное творчество» (протокол № 5 от 11.03.2019)</t>
  </si>
  <si>
    <t>Ярославский государственный театральный институт</t>
  </si>
  <si>
    <t>664278.01.01</t>
  </si>
  <si>
    <t>Текст и коммуникация (филос. размыш.).: Моногр. / Л.Т.Рыскельдиева-М.:Вуз.уч.,НИЦ ИНФРА-М,2018-179с</t>
  </si>
  <si>
    <t>ТЕКСТ И КОММУНИКАЦИЯ (ФИЛОСОФСКИЕ РАЗМЫШЛЕНИЯ).</t>
  </si>
  <si>
    <t>Рыскельдиева Л.Т., Коротченко Ю.М., Шапиро О.А. и др.</t>
  </si>
  <si>
    <t>Научная книга (КФУ)</t>
  </si>
  <si>
    <t>978-5-9558-0589-4</t>
  </si>
  <si>
    <t>477650.02.01</t>
  </si>
  <si>
    <t>Телевизионная индустрия США: Уч. пос. / А.С.Зубок-М.:Вузовский уч., НИЦ ИНФРА-М,2017.-256 с.(о)</t>
  </si>
  <si>
    <t>ТЕЛЕВИЗИОННАЯ ИНДУСТРИЯ США</t>
  </si>
  <si>
    <t>Зубок А.С.</t>
  </si>
  <si>
    <t>978-5-9558-0392-0</t>
  </si>
  <si>
    <t>35.03.01, 38.03.02, 38.04.02, 41.03.04, 41.03.05, 41.03.06, 41.04.04, 41.04.05, 42.03.01, 42.03.02, 42.03.04, 42.04.01, 42.04.02, 42.04.04, 46.03.01, 46.04.01, 51.03.01, 51.04.01</t>
  </si>
  <si>
    <t>НТС</t>
  </si>
  <si>
    <t>670056.03.01</t>
  </si>
  <si>
    <t>Теоретическая строгость как соотв.сист.и метода.:Моногр. / Е.В.Карелина-М.:НИЦ ИНФРА-М,СФУ,2023-119с</t>
  </si>
  <si>
    <t>ТЕОРЕТИЧЕСКАЯ СТРОГОСТЬ КАК СООТВЕТСТВИЕ СИСТЕМЫ И МЕТОДА В ФИЛОСОФИИ</t>
  </si>
  <si>
    <t>Карелина Е.В.</t>
  </si>
  <si>
    <t>978-5-16-013360-7</t>
  </si>
  <si>
    <t>398300.07.01</t>
  </si>
  <si>
    <t>Теоретические и соц. основы техносферы: Моногр./ А.Д.Иоселиани-М:НИЦ ИНФРА-М,2024-395(Науч.мысль)(П)</t>
  </si>
  <si>
    <t>ТЕОРЕТИЧЕСКИЕ И СОЦИАЛЬНЫЕ ОСНОВЫ ТЕХНОСФЕРЫ</t>
  </si>
  <si>
    <t>Иоселиани А.Д.</t>
  </si>
  <si>
    <t>978-5-16-011276-3</t>
  </si>
  <si>
    <t>20.03.01, 20.04.01, 40.03.01, 44.03.01, 44.03.05, 47.03.01, 47.04.01</t>
  </si>
  <si>
    <t>658462.03.01</t>
  </si>
  <si>
    <t>Теоретический  курс  англ. яз. Грамматика: Уч. / А.А.Джиоева-М.:НИЦ ИНФРА-М,2024.-146 с.(ВО)(п)</t>
  </si>
  <si>
    <t>ТЕОРЕТИЧЕСКИЙ  КУРС  АНГЛИЙСКОГО ЯЗЫКА. ГРАММАТИКА</t>
  </si>
  <si>
    <t>978-5-16-019866-8</t>
  </si>
  <si>
    <t>45.03.01, 45.03.02, 45.03.03, 45.03.04, 45.03.99, 45.04.04</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</si>
  <si>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филологическим направлениям подготовки (квалификация (степень) «бакалавр») (протокол № 6 от 16.06.2021)</t>
  </si>
  <si>
    <t>730055.01.01</t>
  </si>
  <si>
    <t>Теория возможного: Монография / С.В.Борзых - М.:НИЦ ИНФРА-М,2021 - 180 с.-(Науч.мысль)(О)</t>
  </si>
  <si>
    <t>ТЕОРИЯ ВОЗМОЖНОГО</t>
  </si>
  <si>
    <t>978-5-16-015992-8</t>
  </si>
  <si>
    <t>281600.04.01</t>
  </si>
  <si>
    <t>Теория и методология истории: Уч. пос. / М.Н.Потемкина - 2 изд. - М.:РИОР, ИЦ РИОР,2019 - 200 с.(П)</t>
  </si>
  <si>
    <t>ТЕОРИЯ И МЕТОДОЛОГИЯ ИСТОРИИ, ИЗД.2</t>
  </si>
  <si>
    <t>Потемкина М.Н.</t>
  </si>
  <si>
    <t>978-5-369-01351-9</t>
  </si>
  <si>
    <t>431250.05.01</t>
  </si>
  <si>
    <t>Теория и методология практ. медико-соц. работы: Моногр. / Е.А.Сигида-М.:НИЦ ИНФРА-М,2021-236с.(О)</t>
  </si>
  <si>
    <t>ТЕОРИЯ И МЕТОДОЛОГИЯ ПРАКТИКИ МЕДИКО-СОЦИАЛЬНОЙ РАБОТЫ</t>
  </si>
  <si>
    <t>Сигида Е.А., Лукьянова И.Е.</t>
  </si>
  <si>
    <t>978-5-16-006661-5</t>
  </si>
  <si>
    <t>31.02.01, 39.03.02, 39.04.02</t>
  </si>
  <si>
    <t>646043.05.01</t>
  </si>
  <si>
    <t>Теория и политика идентичности: Уч.пос. / В.М.Капицын - М.:НИЦ ИНФРА-М,2024-219 с.-(ВО: Магистр.)(П)</t>
  </si>
  <si>
    <t>ТЕОРИЯ И ПОЛИТИКА ИДЕНТИЧНОСТИ</t>
  </si>
  <si>
    <t>978-5-16-013183-2</t>
  </si>
  <si>
    <t>39.04.01, 40.03.01, 41.03.06, 41.04.01, 41.04.04, 44.03.01, 44.03.05, 46.04.01, 46.04.03</t>
  </si>
  <si>
    <t>Рекомендовано в качестве учебного пособия для студентов высших учебных заведений, обучающихся по направлениям подготовки 41.04.04 «Политология», 39.04.01 «Социология», 46.04.03 «Антропология и этнология» (квалификация (степень) «магистр»)</t>
  </si>
  <si>
    <t>084750.16.01</t>
  </si>
  <si>
    <t>Теория и практика аргументации: Уч.пос. / Д.В.Зайцев-М.:ИД Форум, НИЦ ИНФРА-М,2024.-224 с.(ВО)(П)</t>
  </si>
  <si>
    <t>ТЕОРИЯ И ПРАКТИКА АРГУМЕНТАЦИИ</t>
  </si>
  <si>
    <t>Зайцев Д.В.</t>
  </si>
  <si>
    <t>978-5-8199-0926-3</t>
  </si>
  <si>
    <t>41.03.04, 41.03.06, 41.04.04, 47.03.01, 47.04.01</t>
  </si>
  <si>
    <t>Рекомендовано УМО по классическому университетскому образованию в качестве учебного пособия для студентов вузов, обучающихся по направлениям подготовки 47.03.01 «Философия», 41.03.04 «Политология»</t>
  </si>
  <si>
    <t>474650.08.01</t>
  </si>
  <si>
    <t>Теория и практика аргументации: Уч.пос. / Л.А.Демина - М.:Юр.Норма,НИЦ ИНФРА-М,2024-272с.(п)</t>
  </si>
  <si>
    <t>Демина Л. А.</t>
  </si>
  <si>
    <t>978-5-91768-529-8</t>
  </si>
  <si>
    <t>38.03.02, 38.03.03, 38.03.04, 38.04.02, 38.04.03, 38.04.04, 41.03.04, 41.03.06, 41.04.04</t>
  </si>
  <si>
    <t>774803.02.01</t>
  </si>
  <si>
    <t>Теория и практика психологич. тренинга: Уч.пос. / О.О.Андронникова-М.:НИЦ ИНФРА-М,2024.-300 с.(ВО)(п)</t>
  </si>
  <si>
    <t>ТЕОРИЯ И ПРАКТИКА ПСИХОЛОГИЧЕСКОГО ТРЕНИНГА</t>
  </si>
  <si>
    <t>978-5-16-018076-2</t>
  </si>
  <si>
    <t>413650.06.01</t>
  </si>
  <si>
    <t>Теория и практика психосоциал. работы: Уч. пос./Т.И.Целевич - М.:Форум: НИЦ Инфра-М,2024-352с(ВО)(п)</t>
  </si>
  <si>
    <t>ТЕОРИЯ И ПРАКТИКА ПСИХОСОЦИАЛЬНОЙ РАБОТЫ</t>
  </si>
  <si>
    <t>Целевич Т. И., Белобородова Е. А.</t>
  </si>
  <si>
    <t>978-5-91134-722-2</t>
  </si>
  <si>
    <t>Омский государственный педагогический университет</t>
  </si>
  <si>
    <t>427500.08.01</t>
  </si>
  <si>
    <t>Теория и технология реш. психолог. пробл.: Уч.пос. / В.В.Гребнева - М.:НИЦ ИНФРА-М,2024 - 192 с.(ВО)(П)</t>
  </si>
  <si>
    <t>ТЕОРИЯ И ТЕХНОЛОГИЯ РЕШЕНИЯ ПСИХОЛОГИЧЕСКИХ ПРОБЛЕМ</t>
  </si>
  <si>
    <t>Гребнева В. В.</t>
  </si>
  <si>
    <t>978-5-16-006363-8</t>
  </si>
  <si>
    <t>37.03.01, 37.03.02, 37.05.01, 44.03.02, 44.04.03, 44.05.01</t>
  </si>
  <si>
    <t>Рекомендовано в качестве учебного пособия для студентов высших учебных заведений, обучающихся по направлениям подготовки 050400 "Психолого-педагогическое образование" и 030300 «Психология»</t>
  </si>
  <si>
    <t>666691.04.01</t>
  </si>
  <si>
    <t>Теория культуры: Уч.пос. / Н.П.Копцева-М.:НИЦ ИНФРА-М, СФУ,2024.-150 с.(ВО: Бакалавриат (СФУ))(П)</t>
  </si>
  <si>
    <t>ТЕОРИЯ КУЛЬТУРЫ</t>
  </si>
  <si>
    <t>Копцева Н.П., Резникова К.В.</t>
  </si>
  <si>
    <t>978-5-16-013188-7</t>
  </si>
  <si>
    <t>44.03.01, 51.03.01</t>
  </si>
  <si>
    <t>Допущено Учебно-методическим объединением вузов Российской Федерации по образованию в области историко-архивоведения в качестве учебного пособия для студентов высших учебных заведений, обучающихся по направлению «Культурология» («Культуроведение и социокультурные проекты»)</t>
  </si>
  <si>
    <t>813259.01.01</t>
  </si>
  <si>
    <t>Теория ландшафт. архитектуры и методология проектир.: Уч.пос. / Н.В.Кригер-М.:НИЦ ИНФРА-М,2024.-270 с.(ВО)(п)</t>
  </si>
  <si>
    <t>ТЕОРИЯ ЛАНДШАФТНОЙ АРХИТЕКТУРЫ И МЕТОДОЛОГИЯ ПРОЕКТИРОВАНИЯ</t>
  </si>
  <si>
    <t>Высшее образование (КрГАУ)</t>
  </si>
  <si>
    <t>978-5-16-019489-9</t>
  </si>
  <si>
    <t>Рекомендовано Научно-методическим советом федерального государственного бюджетного образовательного учреждения высшего образования «Красноярский государственный аграрный университет» для внутривузовского использования в качестве учебного пособия для студентов, обучающихся по направлению подготовки 35.03.10 «Ландшафтная архитектура», профиль «Садово-парковое и ландшафтное строительство»</t>
  </si>
  <si>
    <t>176150.07.01</t>
  </si>
  <si>
    <t>Теория личности (по материалам рукописи):Моногр./А.И.Стронин, 2 изд.-М.:НИЦ ИНФРА-М,2018.-188 с.(п)</t>
  </si>
  <si>
    <t>ТЕОРИЯ ЛИЧНОСТИ (ПО МАТЕРИАЛАМ РУКОПИСИ), ИЗД.2</t>
  </si>
  <si>
    <t>Стронин А. И., Оганян К. К.</t>
  </si>
  <si>
    <t>978-5-16-011790-4</t>
  </si>
  <si>
    <t>39.03.01, 39.04.01, 44.03.02, 44.04.02, 47.03.01, 47.04.01</t>
  </si>
  <si>
    <t>735735.01.01</t>
  </si>
  <si>
    <t>Теория разума: Монография / С.В.Борзых - М.:НИЦ ИНФРА-М,2021 - 228 с.-(Науч.мысль)(О)</t>
  </si>
  <si>
    <t>ТЕОРИЯ РАЗУМА</t>
  </si>
  <si>
    <t>978-5-16-016232-4</t>
  </si>
  <si>
    <t>678061.03.01</t>
  </si>
  <si>
    <t>Теория социализма: Моногр. / В.С.Соловьев - М.:НИЦ ИНФРА-М,2023 - 609 с.(П)</t>
  </si>
  <si>
    <t>ТЕОРИЯ СОЦИАЛИЗМА</t>
  </si>
  <si>
    <t>Соловьев В.С.</t>
  </si>
  <si>
    <t>978-5-16-014349-1</t>
  </si>
  <si>
    <t>38.04.01, 38.04.04, 38.06.01, 39.04.01, 41.04.04</t>
  </si>
  <si>
    <t>330500.05.01</t>
  </si>
  <si>
    <t>Теория социального управления в высшей школе: монография / Р.В.Леньков-М.:НИЦ ИНФРА-М,2018.-91 с..-(Науч.мысль)(о)</t>
  </si>
  <si>
    <t>ТЕОРИЯ СОЦИАЛЬНОГО УПРАВЛЕНИЯ В ВЫСШЕЙ ШКОЛЕ</t>
  </si>
  <si>
    <t>978-5-16-010609-0</t>
  </si>
  <si>
    <t>39.03.01, 39.04.01, 39.04.02, 39.04.03</t>
  </si>
  <si>
    <t>800292.01.01</t>
  </si>
  <si>
    <t>Теория социальных регуляторов: Моногр. / Под ред. Перфильевой М.Б.-М.:НИЦ ИНФРА-М,2024.-241 с.(п)</t>
  </si>
  <si>
    <t>ТЕОРИЯ СОЦИАЛЬНЫХ РЕГУЛЯТОРОВ</t>
  </si>
  <si>
    <t>Захаров Н.Л., Перфильева М.Б.</t>
  </si>
  <si>
    <t>978-5-16-019447-9</t>
  </si>
  <si>
    <t>637262.03.01</t>
  </si>
  <si>
    <t>Терминология Investor Relations в рус. и англ.яз.:Моногр./ Т.А.Сарангова-М.:НИЦ ИНФРА-М,2023-126с(О)</t>
  </si>
  <si>
    <t>ТЕРМИНОЛОГИЯ INVESTOR RELATIONS В РУССКОМ И АНГЛИЙСКОМ ЯЗЫКАХ</t>
  </si>
  <si>
    <t>Сарангова Т.А.</t>
  </si>
  <si>
    <t>978-5-16-012202-1</t>
  </si>
  <si>
    <t>38.04.01, 38.04.02, 45.03.02, 45.04.02, 45.05.01</t>
  </si>
  <si>
    <t>183150.04.01</t>
  </si>
  <si>
    <t>Терминообразование в языке науки: Моногр. / Ж.Багана-М.:НИЦ ИНФРА-М,2020-144с-(Научная мысль)(О)</t>
  </si>
  <si>
    <t>ТЕРМИНООБРАЗОВАНИЕ В ЯЗЫКЕ НАУКИ</t>
  </si>
  <si>
    <t>Багана Ж., Таранова Е.Н.</t>
  </si>
  <si>
    <t>978-5-16-009762-6</t>
  </si>
  <si>
    <t>182500.05.01</t>
  </si>
  <si>
    <t>Терроризм: История и современность: Социально-психолог. исслед. /К.Г.Горбунов-М.:Форум,2017-400с(п)</t>
  </si>
  <si>
    <t>ТЕРРОРИЗМ: ИСТОРИЯ И СОВРЕМЕННОСТЬ. СОЦИАЛЬНО-ПСИХОЛОГИЧЕСКОЕ ИССЛЕДОВАНИЕ</t>
  </si>
  <si>
    <t>Горбунов К.Г.</t>
  </si>
  <si>
    <t>978-5-91134-582-2</t>
  </si>
  <si>
    <t>37.03.01, 37.04.01, 39.03.01, 39.04.01, 40.03.01, 40.04.01, 40.05.01</t>
  </si>
  <si>
    <t>407400.11.01</t>
  </si>
  <si>
    <t>Техника и искусство фотографии: Уч.пос. / А.В.Левкина  - 2 изд. - М.:НИЦ ИНФРА-М,2024 - 295 с.(СПО)(п)</t>
  </si>
  <si>
    <t>ТЕХНИКА И ИСКУССТВО ФОТОГРАФИИ, ИЗД.2</t>
  </si>
  <si>
    <t>Левкина А.В.</t>
  </si>
  <si>
    <t>978-5-16-013790-2</t>
  </si>
  <si>
    <t>54.01.20, 54.02.08</t>
  </si>
  <si>
    <t>Рекомендовано Межрегиональным учебно-методическим советом профессионального образования в качестве учебного пособия для учебных заведений для реализации образовательных программ среднего профессионального образования (протокол № 10 от 27.05.2019)</t>
  </si>
  <si>
    <t>765966.02.01</t>
  </si>
  <si>
    <t>Технологии в социальной работе: Уч. / А.В.Ипатов-М.:НИЦ ИНФРА-М,2022.-378 с.(ВО: Бакалавриат)(П)</t>
  </si>
  <si>
    <t>ТЕХНОЛОГИИ В СОЦИАЛЬНОЙ РАБОТЕ</t>
  </si>
  <si>
    <t>Ипатов А.В.</t>
  </si>
  <si>
    <t>978-5-16-017294-1</t>
  </si>
  <si>
    <t>Российский государственный гидрометеорологический университет</t>
  </si>
  <si>
    <t>740833.03.01</t>
  </si>
  <si>
    <t>Технологии инклюзии инвалидов и лиц с огр. возмож. здоровья: Уч.пос. / Е.В.Воеводина-М.:НИЦ ИНФРА-М,2024.-203 с.(ВО)(п)</t>
  </si>
  <si>
    <t>ТЕХНОЛОГИИ ИНКЛЮЗИИ ИНВАЛИДОВ И ЛИЦ С ОГРАНИЧЕННЫМИ ВОЗМОЖНОСТЯМИ ЗДОРОВЬЯ</t>
  </si>
  <si>
    <t>Воеводина Е.В.</t>
  </si>
  <si>
    <t>978-5-16-019828-6</t>
  </si>
  <si>
    <t>39.03.01, 39.03.02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</si>
  <si>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39.03.01 «Социология», 39.03.02 «Социальная работа» (квалификация (степень) «бакалавр») (протокол № 6 от 16.06.2021)</t>
  </si>
  <si>
    <t>097450.11.01</t>
  </si>
  <si>
    <t>Технологии соц.работы с разл.группами насел..:Уч.пос./П.Д.Павленок-М.:НИЦ ИНФРА-М,2023-272с(ВО:Бак.)</t>
  </si>
  <si>
    <t>ТЕХНОЛОГИИ СОЦИАЛЬНОЙ РАБОТЫ С РАЗЛИЧНЫМИ ГРУППАМИ НАСЕЛЕНИЯ</t>
  </si>
  <si>
    <t>Павленок П. Д., Руднева М. Я.</t>
  </si>
  <si>
    <t>978-5-16-003292-4</t>
  </si>
  <si>
    <t>Рекомендовано Учебно-методическим  объединением по образованию в области социальной работы в качестве учебного пособия для студентов высших учебных заведений, обучающихся по направлению 39.03.02 «Социальная работа»</t>
  </si>
  <si>
    <t>158645.11.01</t>
  </si>
  <si>
    <t>Технологии цвет.революций: Моногр. / А.Э.Гапич - 2 изд. - М.:ИЦ РИОР, НИЦ ИНФРА-М,2023 - 126 с(Науч.мысль)(О)</t>
  </si>
  <si>
    <t>ТЕХНОЛОГИИ ЦВЕТНЫХ РЕВОЛЮЦИЙ, ИЗД.2</t>
  </si>
  <si>
    <t>Гапич А. Э., Лушников Д. А.</t>
  </si>
  <si>
    <t>978-5-369-01354-0</t>
  </si>
  <si>
    <t>39.03.01, 39.03.03, 39.04.01, 39.04.03, 40.03.01, 41.03.04, 41.03.06, 41.04.04, 44.03.01, 44.03.05</t>
  </si>
  <si>
    <t>631797.08.01</t>
  </si>
  <si>
    <t>Технология последоват. перевода: Уч.пос. / Л.А.Гаврилов - 2 изд.-М.:Форум, НИЦ ИНФРА-М,2023.-146с(О)</t>
  </si>
  <si>
    <t>ТЕХНОЛОГИЯ ПОСЛЕДОВАТЕЛЬНОГО ПЕРЕВОДА, ИЗД.2</t>
  </si>
  <si>
    <t>Гаврилов Л.А., Зарипов Р.И.</t>
  </si>
  <si>
    <t>978-5-00091-410-6</t>
  </si>
  <si>
    <t>38.03.01, 39.04.01, 44.03.05, 45.03.01, 45.05.01, 46.04.03</t>
  </si>
  <si>
    <t>Рекомендовано Союзом переводчиков России в качестве учебного пособия для студентов филологических факультетов, обучающихся по программе «Перевод и переводоведение»</t>
  </si>
  <si>
    <t>668552.01.01</t>
  </si>
  <si>
    <t>Технология разработки и реализации соц. программ: Уч.пос. / Н.П.Щукина-М.:НИЦ ИНФРА-М,2024.-250 с.(ВО)(п)</t>
  </si>
  <si>
    <t>ТЕХНОЛОГИЯ РАЗРАБОТКИ И РЕАЛИЗАЦИИ СОЦИАЛЬНЫХ ПРОГРАММ</t>
  </si>
  <si>
    <t>Щукина Н.П.</t>
  </si>
  <si>
    <t>978-5-16-014742-0</t>
  </si>
  <si>
    <t>39.04.01, 39.04.02</t>
  </si>
  <si>
    <t>Самарский государственный медицинский университет</t>
  </si>
  <si>
    <t>425750.07.01</t>
  </si>
  <si>
    <t>Типические характеры в произведениях А.С. Пушкина: Моногр. / С.Ю.Поройков - М.:НИЦ ИНФРА-М,2022-184с.(о)</t>
  </si>
  <si>
    <t>ТИПИЧЕСКИЕ ХАРАКТЕРЫ В ПРОИЗВЕДЕНИЯХ А.С. ПУШКИНА</t>
  </si>
  <si>
    <t>978-5-16-006596-0</t>
  </si>
  <si>
    <t>085460.09.01</t>
  </si>
  <si>
    <t>Топос и номос: пространства правопорядков / И.А.Исаев. - М.: НОРМА, 2023 - 416 с.</t>
  </si>
  <si>
    <t>ТОПОС И НОМОС: ПРОСТРАНСТВА ПРАВОПОРЯДКОВ</t>
  </si>
  <si>
    <t>Исаев И. А.</t>
  </si>
  <si>
    <t>978-5-468-00127-1</t>
  </si>
  <si>
    <t>40.00.00, 47.00.00, 44.03.05, 47.03.01</t>
  </si>
  <si>
    <t>794951.01.01</t>
  </si>
  <si>
    <t>Традиция авторской маски в рус. прозе XVIII-XIX вв: Моногр. / О.Ю.Осьмухина-М.:НИЦ ИНФРА-М,2023-379с.(П)</t>
  </si>
  <si>
    <t>ТРАДИЦИЯ АВТОРСКОЙ МАСКИ В РУССКОЙ ПРОЗЕ XVIII-XIX ВЕКОВ</t>
  </si>
  <si>
    <t>Осьмухина О.Ю.</t>
  </si>
  <si>
    <t>978-5-16-018100-4</t>
  </si>
  <si>
    <t>44.04.01, 44.06.01, 44.07.01, 45.04.01, 45.06.01, 45.07.01, 52.05.04, 52.09.08</t>
  </si>
  <si>
    <t>475800.03.01</t>
  </si>
  <si>
    <t>Трактат об очищении интеллекта..: Моногр. / А.Д.Майданский-М.:НИЦ ИНФРА-М,2020-338 с.(Науч.мысль)(П)</t>
  </si>
  <si>
    <t>ТРАКТАТ ОБ ОЧИЩЕНИИ ИНТЕЛЛЕКТА. ЖИЗНЕОПИСАНИЯ СПИНОЗЫ</t>
  </si>
  <si>
    <t>Майданский А.Д.</t>
  </si>
  <si>
    <t>978-5-16-011646-4</t>
  </si>
  <si>
    <t>47.00.00, 40.03.01, 44.03.01, 44.03.05</t>
  </si>
  <si>
    <t>804773.01.01</t>
  </si>
  <si>
    <t>Трансформация совр. мир. порядка в условиях украин. кризиса / О.А.Овсянникова-М.:НИЦ ИНФРА-М,2024.-282 с.(п)</t>
  </si>
  <si>
    <t>ТРАНСФОРМАЦИЯ СОВРЕМЕННОГО МИРОВОГО ПОРЯДКА В УСЛОВИЯХ УКРАИНСКОГО КРИЗИСА</t>
  </si>
  <si>
    <t>Овсянникова О.А.</t>
  </si>
  <si>
    <t>978-5-16-018900-0</t>
  </si>
  <si>
    <t>41.03.04, 41.03.05, 41.04.05, 41.06.01</t>
  </si>
  <si>
    <t>АНО НИЦ "Национальная Безопасность"</t>
  </si>
  <si>
    <t>158150.10.01</t>
  </si>
  <si>
    <t>Три главные проблемы подростка с девиантным повед... / В.К.Зарецкий.-М.:Форум,2024.-205 с.(О)</t>
  </si>
  <si>
    <t>ТРИ ГЛАВНЫЕ ПРОБЛЕМЫ ПОДРОСТКА С ДЕВИАНТНЫМ ПОВЕДЕНИЕМ. ПОЧЕМУ ВОЗНИКАЮТ? КАК ПОМОЧЬ?</t>
  </si>
  <si>
    <t>Зарецкий В. К., Смирнова Н. С., Зарецкий Ю. В., Евлашкина Н. М.</t>
  </si>
  <si>
    <t>978-5-91134-547-1</t>
  </si>
  <si>
    <t>31.05.02, 37.03.01, 44.03.01, 44.03.05</t>
  </si>
  <si>
    <t>704205.02.01</t>
  </si>
  <si>
    <t>Труд как творчество: мозаика наблюд., цитат, выводов: Моногр. /В.К.Харченко-М.:НИЦ ИНФРА-М,2023-155с</t>
  </si>
  <si>
    <t>ТРУД КАК ТВОРЧЕСТВО: МОЗАИКА НАБЛЮДЕНИЙ, ЦИТАТ, ВЫВОДОВ</t>
  </si>
  <si>
    <t>978-5-16-014938-7</t>
  </si>
  <si>
    <t>810458.01.01</t>
  </si>
  <si>
    <t>Трудовая повседневн. купеч-ва Оренбург. губерн. в пореформ.../К.А.Абдрахманов-М.:НИЦ ИНФРА-М,2024-231с(о)</t>
  </si>
  <si>
    <t>ТРУДОВАЯ ПОВСЕДНЕВНОСТЬ КУПЕЧЕСТВА ОРЕНБУРГСКОЙ ГУБЕРНИИ В ПОРЕФОРМЕННЫЙ ПЕРИОД  (1865‒1914)</t>
  </si>
  <si>
    <t>Абдрахманов К.А.</t>
  </si>
  <si>
    <t>978-5-16-019007-5</t>
  </si>
  <si>
    <t>38.04.01, 38.04.02, 38.06.01</t>
  </si>
  <si>
    <t>Оренбургский государственный педагогический университет</t>
  </si>
  <si>
    <t>765509.01.01</t>
  </si>
  <si>
    <t>Тунисская революция: предпосылки...: Моногр. / В.В.Желтов - М.:НИЦ ИНФРА-М,2022 - 273 с.(Науч.мысль)(О)</t>
  </si>
  <si>
    <t>ТУНИССКАЯ РЕВОЛЮЦИЯ: ПРЕДПОСЫЛКИ, ОСОБЕННОСТИ, ПРАВОВЫЕ ОСНОВАНИЯ</t>
  </si>
  <si>
    <t>978-5-16-017288-0</t>
  </si>
  <si>
    <t>813754.01.01</t>
  </si>
  <si>
    <t>Украина в системе международных отношений...: Моногр. / О.А.Овсянникова-М.:НИЦ ИНФРА-М,2024.-275 с.(п)</t>
  </si>
  <si>
    <t>УКРАИНА В СИСТЕМЕ МЕЖДУНАРОДНЫХ ОТНОШЕНИЙ: ИСТОРИЧЕСКАЯ И СОВРЕМЕННАЯ ПРАКТИКА</t>
  </si>
  <si>
    <t>978-5-16-019143-0</t>
  </si>
  <si>
    <t>41.03.04, 41.04.04, 41.04.05, 41.06.01</t>
  </si>
  <si>
    <t>766676.01.01</t>
  </si>
  <si>
    <t>Универсальность уникальности: Моногр. / С.В.Борзых - М.:НИЦ ИНФРА-М,2022 - 224 с.(Науч.мысль)(О)</t>
  </si>
  <si>
    <t>УНИВЕРСАЛЬНОСТЬ УНИКАЛЬНОСТИ</t>
  </si>
  <si>
    <t>978-5-16-017287-3</t>
  </si>
  <si>
    <t>797079.03.01</t>
  </si>
  <si>
    <t>Управление персон. информ. потоками в условиях цифр... / И.Б.Стрелкова-М.:НИЦ ИНФРА-М,2023.-192с(П)</t>
  </si>
  <si>
    <t>УПРАВЛЕНИЕ ПЕРСОНАЛЬНЫМИ ИНФОРМАЦИОННЫМИ ПОТОКАМИ В УСЛОВИЯХ ЦИФРОВОЙ ОБРАЗОВАТЕЛЬНОЙ СРЕДЫ: МЕТОДИЧЕСКИЙ ИНСТРУМЕНТАРИЙ</t>
  </si>
  <si>
    <t>Стрелкова И.Б.</t>
  </si>
  <si>
    <t>978-5-16-018220-9</t>
  </si>
  <si>
    <t>Научно-практическое пособие</t>
  </si>
  <si>
    <t>00.06.01, 35.03.03, 44.06.01, 51.03.06, 51.04.06</t>
  </si>
  <si>
    <t>Республиканский институт профессионального образования</t>
  </si>
  <si>
    <t>645761.03.01</t>
  </si>
  <si>
    <t>Управленческий дискурс как соц. коммуникат. техн..: Моногр. / А.Г.Киселев-М:НИЦ ИНФРА-М,2020-120с(О)</t>
  </si>
  <si>
    <t>УПРАВЛЕНЧЕСКИЙ ДИСКУРС КАК СОЦИАЛЬНАЯ КОММУНИКАТИВНАЯ ТЕХНОЛОГИЯ В СИСТЕМЕ ОТНОШЕНИЙ ГОСУДАРСТВА И СОЦИУМА</t>
  </si>
  <si>
    <t>Киселев А.Г., Шилина С.А.</t>
  </si>
  <si>
    <t>978-5-16-012422-3</t>
  </si>
  <si>
    <t>641265.02.01</t>
  </si>
  <si>
    <t>Урболандшафты на овражно-балочном рельефе: Моногр. / И.М.Евграфова - М.:НИЦ ИНФРА-М,2023 - 335 с.(П)</t>
  </si>
  <si>
    <t>УРБОЛАНДШАФТЫ НА ОВРАЖНО-БАЛОЧНОМ РЕЛЬЕФЕ</t>
  </si>
  <si>
    <t>Евграфова И.М.</t>
  </si>
  <si>
    <t>978-5-16-014305-7</t>
  </si>
  <si>
    <t>766714.01.01</t>
  </si>
  <si>
    <t>Урболюция: Моногр. / С.В.Борзых - М.:НИЦ ИНФРА-М,2022 - 183 с.(Науч.мысль)(О)</t>
  </si>
  <si>
    <t>УРБОЛЮЦИЯ</t>
  </si>
  <si>
    <t>978-5-16-017302-3</t>
  </si>
  <si>
    <t>660920.04.01</t>
  </si>
  <si>
    <t>Урбоэкодиагностика и сбалансиров.развитие Москвы: Моногр./ И.В.Ивашкина-М.:НИЦ ИНФРА-М,2023-202с(П)</t>
  </si>
  <si>
    <t>УРБОЭКОДИАГНОСТИКА И СБАЛАНСИРОВАННОЕ РАЗВИТИЕ МОСКВЫ</t>
  </si>
  <si>
    <t>Ивашкина И.В., Кочуров Б.И.</t>
  </si>
  <si>
    <t>978-5-16-013019-4</t>
  </si>
  <si>
    <t>07.03.01, 07.03.04, 07.04.04, 08.03.01</t>
  </si>
  <si>
    <t>Научно-исследовательский и проектный институт Генерального плана города Москвы</t>
  </si>
  <si>
    <t>157800.11.01</t>
  </si>
  <si>
    <t>Уроки поэзии: Поэтич. шедевры рус. поэтов XVIII...: Уч. пос. / Г.А.Обернихина-ИНФРА-М, 2024 - 464 с.(СПО) (П)</t>
  </si>
  <si>
    <t>УРОКИ ПОЭЗИИ: ПОЭТИЧЕСКИЕ ШЕДЕВРЫ РУССКИХ ПОЭТОВ XVIII - XIX ВВ.</t>
  </si>
  <si>
    <t>Обернихина Г. А., Обернихин В. А., Обернихина Г. А.</t>
  </si>
  <si>
    <t>978-5-16-004784-3</t>
  </si>
  <si>
    <t>022556.20.01</t>
  </si>
  <si>
    <t>Учебник латинского языка: Уч. / И.С.Розенталь, - 2 изд., стер.-М.:НОРМА, НИЦ ИНФРА-М,2024.- 320 с.(П)</t>
  </si>
  <si>
    <t>УЧЕБНИК ЛАТИНСКОГО ЯЗЫКА, ИЗД.2</t>
  </si>
  <si>
    <t>Розенталь И. С., Соколов В. С.</t>
  </si>
  <si>
    <t>978-5-91768-627-1</t>
  </si>
  <si>
    <t>40.03.01, 40.04.01, 40.05.01, 40.05.02, 40.05.03, 48.03.01</t>
  </si>
  <si>
    <t>Рекомендован Академическим правовым университетом при Институте государства и права Российской академии наук</t>
  </si>
  <si>
    <t>440950.03.01</t>
  </si>
  <si>
    <t>Феномен  референции: Монография / В.Д.Голиков-М.:НИЦ ИНФРА-М,2016.-204 с..-(Научная мысль)(о)</t>
  </si>
  <si>
    <t>ФЕНОМЕН  РЕФЕРЕНЦИИ</t>
  </si>
  <si>
    <t>Голиков В.Д., Касимова Э.Р.</t>
  </si>
  <si>
    <t>978-5-16-006786-5</t>
  </si>
  <si>
    <t>693931.04.01</t>
  </si>
  <si>
    <t>Феномен этнических диаспор: Моногр. / В.Д.Попков - М.:НИЦ ИНФРА-М,2024 - 276 с.(Науч.мысль)(о)</t>
  </si>
  <si>
    <t>ФЕНОМЕН ЭТНИЧЕСКИХ ДИАСПОР</t>
  </si>
  <si>
    <t>Попков В.Д.</t>
  </si>
  <si>
    <t>978-5-16-014560-0</t>
  </si>
  <si>
    <t>39.04.01, 39.06.01, 41.04.04, 41.06.01, 46.04.01, 46.04.03, 46.06.01</t>
  </si>
  <si>
    <t>168200.07.01</t>
  </si>
  <si>
    <t>Физиология поведения: Уч.пос. / Под ред. Саваневского Н.К. - М.:ИНФРА-М, Нов.знание,2022 - 400 с.(ВО)(П)</t>
  </si>
  <si>
    <t>ФИЗИОЛОГИЯ ПОВЕДЕНИЯ</t>
  </si>
  <si>
    <t>Саваневский Н. К., Хомич Г. Е., Саваневский Н. К.</t>
  </si>
  <si>
    <t>978-5-16-005288-5</t>
  </si>
  <si>
    <t>Рек. УМО высших учебных заведений Республики Беларусь по гуманитарному образованию в качестве учебного пособия для студентов высших учебных заведений, обуч. по специальности "Психология"</t>
  </si>
  <si>
    <t>178950.05.01</t>
  </si>
  <si>
    <t>Фил - и - Соф: беседы о вечном и бренном: Моногр. / А.А.Лагунов - М:НИЦ Инфра-М, 2022 - 184с(Науч.мысль) (о)</t>
  </si>
  <si>
    <t>ФИЛ - И - СОФ: БЕСЕДЫ О ВЕЧНОМ И БРЕННОМ</t>
  </si>
  <si>
    <t>Лагунов А. А., Нижников С. А.</t>
  </si>
  <si>
    <t>978-5-16-005435-3</t>
  </si>
  <si>
    <t>737017.05.01</t>
  </si>
  <si>
    <t>Философия (с кейсовыми задачами): Уч.пос. / Т.М.Махаматов-М.:НИЦ ИНФРА-М,2024.-294 с.(ВО: Бакалавр)(П)</t>
  </si>
  <si>
    <t>ФИЛОСОФИЯ (С КЕЙСОВЫМИ ЗАДАЧАМИ)</t>
  </si>
  <si>
    <t>Махаматов Т.М., Махаматов Т.T.</t>
  </si>
  <si>
    <t>978-5-16-016439-7</t>
  </si>
  <si>
    <t>645367.03.01</t>
  </si>
  <si>
    <t>Философия для педагогов: Уч. / В.А.Канке - М.:НИЦ ИНФРА-М,2023 - 330 с.-(ВО: Бакалавриат)(П)</t>
  </si>
  <si>
    <t>ФИЛОСОФИЯ ДЛЯ ПЕДАГОГОВ</t>
  </si>
  <si>
    <t>978-5-16-012827-6</t>
  </si>
  <si>
    <t>44.03.01, 44.03.02, 44.03.04, 44.03.05, 47.03.01</t>
  </si>
  <si>
    <t>Рекомендовано в качестве учебника для студентов высших учебных заведений, обучающихся по направлениям подготовки 44.03.01 «Педагогическое образование», 44.03.02 «Психолого-педагогическое образование», 44.03.03 «Специальное (дефектологическое) образование», 44.03.04 «Профессиональное обучение (по отраслям)» (квалификация (степень) «бакалавр»)</t>
  </si>
  <si>
    <t>645368.04.01</t>
  </si>
  <si>
    <t>Философия для психологов: Уч. / В.А.Канке - М.:НИЦ ИНФРА-М,2023 - 315 с.-(ВО: Бакалавриат)(П)</t>
  </si>
  <si>
    <t>ФИЛОСОФИЯ ДЛЯ ПСИХОЛОГОВ</t>
  </si>
  <si>
    <t>978-5-16-012828-3</t>
  </si>
  <si>
    <t>37.03.01, 37.03.02, 44.03.02</t>
  </si>
  <si>
    <t>Рекомендовано в качестве учебника для студентов высших учебных заведений, обучающихся по направлениям подготовки 37.03.01 «Психология», 37.03.02 «Конфликтология» (квалификация (степень) «бакалавр»)</t>
  </si>
  <si>
    <t>677733.04.01</t>
  </si>
  <si>
    <t>Философия для технич. специальностей: Уч. / В.А.Канке - 2 изд. - М.:НИЦ ИНФРА-М,2023-326 с(ВО)(П)</t>
  </si>
  <si>
    <t>ФИЛОСОФИЯ ДЛЯ ТЕХНИЧЕСКИХ СПЕЦИАЛЬНОСТЕЙ, ИЗД.2</t>
  </si>
  <si>
    <t>978-5-16-014116-9</t>
  </si>
  <si>
    <t>00.03.11, 00.04.17, 00.05.11</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</si>
  <si>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техническим направлениям подготовки (квалификация (степень) «бакалавр») (протокол № 11 от 09.11.2020)</t>
  </si>
  <si>
    <t>677732.05.01</t>
  </si>
  <si>
    <t>Философия для экономистов и менеджеров: Уч. / В.А.Канке - 2 изд. - М.:НИЦ ИНФРА-М,2023 - 320 с.(ВО)(П)</t>
  </si>
  <si>
    <t>ФИЛОСОФИЯ ДЛЯ ЭКОНОМИСТОВ И МЕНЕДЖЕРОВ, ИЗД.2</t>
  </si>
  <si>
    <t>978-5-16-014114-5</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</si>
  <si>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укрупненной группе специальностей и направлений подготовки 38.03.00 «Экономика и управление» (квалификация (степень) «бакалавр») (протокол № 18 от 25.11.2019)</t>
  </si>
  <si>
    <t>677716.04.01</t>
  </si>
  <si>
    <t>Философия для юристов: Уч. / В.А.Канке, - 2 изд.-М.:НИЦ ИНФРА-М,2023.-333 с.(ВО)(п)</t>
  </si>
  <si>
    <t>ФИЛОСОФИЯ ДЛЯ ЮРИСТОВ, ИЗД.2</t>
  </si>
  <si>
    <t>978-5-16-018853-9</t>
  </si>
  <si>
    <t>40.03.01, 47.03.01</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</si>
  <si>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40.03.01 «Юриспруденция» (квалификация (степень) «бакалавр») (протокол № 10 от 27.05.2019)</t>
  </si>
  <si>
    <t>710214.04.01</t>
  </si>
  <si>
    <t>Философия для юристов: Уч. / О.Ю.Рыбаков - М.:Юр.Норма, НИЦ ИНФРА-М,2023 - 368 с.(П)</t>
  </si>
  <si>
    <t>ФИЛОСОФИЯ ДЛЯ ЮРИСТОВ</t>
  </si>
  <si>
    <t>Рыбаков О.Ю.</t>
  </si>
  <si>
    <t>978-5-00156-003-6</t>
  </si>
  <si>
    <t>402250.09.01</t>
  </si>
  <si>
    <t>Философия и история науки: Уч. / Е.А.Гусева - М.:НИЦ ИНФРА-М,2024 - 128 с.-(ВО: Магистратура)(о)</t>
  </si>
  <si>
    <t>ФИЛОСОФИЯ И ИСТОРИЯ НАУКИ</t>
  </si>
  <si>
    <t>Гусева Е.А., Леонов В.Е.</t>
  </si>
  <si>
    <t>978-5-16-005796-5</t>
  </si>
  <si>
    <t>15.04.01, 15.04.03, 16.04.03, 35.04.08, 36.04.02, 46.04.02, 47.03.01, 47.04.01, 51.03.04, 51.04.04, 52.04.03, 53.04.04</t>
  </si>
  <si>
    <t>Допущено УМО по образованию в области производственного менеджмента в качестве учебника для аспирантов и соискателей всех специальностей</t>
  </si>
  <si>
    <t>241400.08.01</t>
  </si>
  <si>
    <t>Философия и история науки: Уч.пос. / А.Л.Никифоров - М.:НИЦ ИНФРА-М,2024 - 176 с.(ВО: Аспирантура)(О)</t>
  </si>
  <si>
    <t>Никифоров А. Л.</t>
  </si>
  <si>
    <t>978-5-16-018957-4</t>
  </si>
  <si>
    <t>Институт философии Российской академии наук</t>
  </si>
  <si>
    <t>433900.04.01</t>
  </si>
  <si>
    <t>Философия и культура Латинской Америки: Моногр. /М.С.Колесов-2 изд. -М.:Вуз. уч., НИЦ ИНФРА-М,2024.-160 с.(о)</t>
  </si>
  <si>
    <t>ФИЛОСОФИЯ И КУЛЬТУРА ЛАТИНСКОЙ АМЕРИКИ, ИЗД.2</t>
  </si>
  <si>
    <t>978-5-9558-0464-4</t>
  </si>
  <si>
    <t>47.04.01, 51.04.01</t>
  </si>
  <si>
    <t>672180.03.01</t>
  </si>
  <si>
    <t>Философия и методология науки: Уч.пос. / В.А.Светлов-М.:НИЦ ИНФРА-М, СФУ,2022.-413 с.(ВО: Магистр. (СФУ))(П)</t>
  </si>
  <si>
    <t>ФИЛОСОФИЯ И МЕТОДОЛОГИЯ НАУКИ</t>
  </si>
  <si>
    <t>Светлов В.А., Пфаненштиль И.А.</t>
  </si>
  <si>
    <t>978-5-16-017352-8</t>
  </si>
  <si>
    <t>00.04.17, 01.04.01, 01.04.03, 02.04.01, 02.04.02, 10.04.01, 21.04.01, 38.04.09, 39.04.02, 46.04.01, 47.03.01</t>
  </si>
  <si>
    <t>Рекомендовано Учебно-методической комиссией по философии Учебно-методического объединения при Министерстве образования и науки РФ в качестве учебного пособия для студентов вузов и послевузовской системы образования</t>
  </si>
  <si>
    <t>Петербургский государственный университет путей сообщения Императора Александра I</t>
  </si>
  <si>
    <t>145150.07.01</t>
  </si>
  <si>
    <t>Философия и теория познания: Уч.пос. / Т.Г.Лешкевич-М.:ИНФРА-М Издательский Дом,2022.-408 с.(ВО)(П)</t>
  </si>
  <si>
    <t>ФИЛОСОФИЯ И ТЕОРИЯ ПОЗНАНИЯ</t>
  </si>
  <si>
    <t>Лешкевич Т. Г.</t>
  </si>
  <si>
    <t>978-5-16-004485-9</t>
  </si>
  <si>
    <t>337600.05.01</t>
  </si>
  <si>
    <t>Философия истории России/М.С.Колесов - 2 изд.-М.:Вузовский учебник, НИЦ ИНФРА-М,2024.-238 с.(Научная книга)(О)</t>
  </si>
  <si>
    <t>ФИЛОСОФИЯ ИСТОРИИ РОССИИ, ИЗД.2</t>
  </si>
  <si>
    <t>КолесовМ.С.</t>
  </si>
  <si>
    <t>978-5-9558-0421-7</t>
  </si>
  <si>
    <t>40.03.01, 44.03.01, 44.03.05, 46.04.01, 47.04.01</t>
  </si>
  <si>
    <t>776751.01.01</t>
  </si>
  <si>
    <t>Философия истории: Уч. / А.А.Иванов-М.:НИЦ ИНФРА-М,2023.-312 с.(ВО)(п)</t>
  </si>
  <si>
    <t>ФИЛОСОФИЯ ИСТОРИИ</t>
  </si>
  <si>
    <t>Иванов А.А., Воронов В.М.</t>
  </si>
  <si>
    <t>978-5-16-017662-8</t>
  </si>
  <si>
    <t>44.04.01, 46.03.01, 46.04.01, 47.03.01</t>
  </si>
  <si>
    <t>Рекомендовано УМО РАЕ по классическому университетскому и техническому образованию в качестве учебника для студентов высших учебных заведений, обучающихся по направлениям подготовки: 47.03.01 - "Философия", 37.03.02 - "Конфликтология"</t>
  </si>
  <si>
    <t>652086.05.01</t>
  </si>
  <si>
    <t>Философия истории: Уч. / Науч. ред. Кальной И.И. - М.:Вуз. уч., НИЦ ИНФРА-М,2024 - 388 с.(П)</t>
  </si>
  <si>
    <t>ФИЛОСОФИЯ ИСТОРИИ, ИЗД.2</t>
  </si>
  <si>
    <t>Габриелян О.А., Кальной И.И.</t>
  </si>
  <si>
    <t>978-5-9558-0551-1</t>
  </si>
  <si>
    <t>46.03.01, 47.03.01</t>
  </si>
  <si>
    <t>658021.04.01</t>
  </si>
  <si>
    <t>Философия истории: Уч.пос. / В.Д.Губин - 2 изд.-М.:НИЦ ИНФРА-М,2023.-370 с..-(ВО: Бакалавриат)(П)</t>
  </si>
  <si>
    <t>Губин В.Д., Стрелков В.И.</t>
  </si>
  <si>
    <t>978-5-16-013687-5</t>
  </si>
  <si>
    <t>46.03.01, 46.04.01, 47.03.01, 47.04.01</t>
  </si>
  <si>
    <t>Рекомендовано Учебно-методическим советом ВО в качестве учебного пособия для студентов высших учебных заведений, обучающихся по направлениям подготовки 47.03.01 «Философия», 46.03.01 «История» (квалификация (степень) «бакалавр»)</t>
  </si>
  <si>
    <t>406800.10.01</t>
  </si>
  <si>
    <t>Философия музея: Уч.пос. / Под ред. Пиотровского М.Б. - М.:НИЦ ИНФРА-М,2023 - 192 с.(ВО)(О)</t>
  </si>
  <si>
    <t>ФИЛОСОФИЯ МУЗЕЯ</t>
  </si>
  <si>
    <t>Пиотровский М.Б., Беззубова О.В., Дриккер А.С. и др.</t>
  </si>
  <si>
    <t>978-5-16-006155-9</t>
  </si>
  <si>
    <t>43.03.02, 43.04.02, 47.03.01, 47.04.01, 50.03.03, 51.03.01, 51.03.04, 51.04.01, 51.04.04, 53.04.05, 54.03.04, 54.04.04</t>
  </si>
  <si>
    <t>Рекомендовано в качестве учебного пособия для студентов высших учебных заведений, обучающихся по направлениям подготовки 47.04.01 «Философия», 51.04.01 «Культурология», 50.04.01 «Искусства и гуманитарные науки», 54.04.04 «Реставрация» (квалификация (степень) «магистр»)</t>
  </si>
  <si>
    <t>638289.08.01</t>
  </si>
  <si>
    <t>Философия науки: Уч.пос. / В.П.Кохановский - 3 изд. - М.:Юр.Норма,НИЦ ИНФРА-М,2023 - 432 с.(П)</t>
  </si>
  <si>
    <t>ФИЛОСОФИЯ НАУКИ, ИЗД.3</t>
  </si>
  <si>
    <t>Кохановский В.П., Пржиленский В.И., Сергодеева Е.А.</t>
  </si>
  <si>
    <t>978-5-91768-758-2</t>
  </si>
  <si>
    <t>127150.13.01</t>
  </si>
  <si>
    <t>Философия науки: Уч.пос. / Е.В.Мареева - М.:НИЦ ИНФРА-М,2024 - 333 с.-(ВО: Аспирантура)(П)</t>
  </si>
  <si>
    <t>ФИЛОСОФИЯ НАУКИ</t>
  </si>
  <si>
    <t>Мареева Е. В., Мареев С. Н., Майданский А. Д.</t>
  </si>
  <si>
    <t>978-5-16-011709-6</t>
  </si>
  <si>
    <t>15.04.01, 15.04.03, 16.04.03, 35.04.08, 36.04.02, 46.04.02, 47.03.01, 47.04.01, 51.04.04, 52.04.03, 53.04.04</t>
  </si>
  <si>
    <t>Рекомендовано Ученым советом Института МИРБИС в качестве учебного пособия для аспирантов и соискателей; Рекомендовано к изданию Ученым советом НОУ ВПО «Московская академия экономики и права»</t>
  </si>
  <si>
    <t>062250.12.01</t>
  </si>
  <si>
    <t>Философия науки: Уч.пос. / Т.Г.Лешкевич-М.:НИЦ ИНФРА-М,2024.-272 с..-(ВО)(п)</t>
  </si>
  <si>
    <t>Лешкевич Т.Г., Лисеев И.К.</t>
  </si>
  <si>
    <t>978-5-16-018756-3</t>
  </si>
  <si>
    <t>01.06.01, 02.06.01, 03.06.01, 04.06.01, 05.06.01, 06.06.01, 07.06.01, 08.06.01, 09.06.01, 10.06.01, 11.06.01, 12.06.01, 13.06.01, 14.06.01, 15.06.01, 16.06.01, 17.06.01, 18.06.01, 19.06.01, 20.06.01, 21.06.01, 21.06.02, 22.06.01, 23.06.01, 24.06.01, 25.06.01, 26.06.01, 27.06.01, 28.06.01, 29.06.01, 30.06.01, 32.06.01, 33.06.01, 35.06.01, 35.06.02, 35.06.03, 35.06.04, 36.06.01, 37.06.01, 38.06.01, 39.06.01, 40.03.01, 40.06.01, 41.06.01, 42.06.01, 44.03.01, 44.03.05, 44.06.01, 45.06.01, 46.06.01, 47.03.01, 47.04.01, 47.06.01, 48.06.01, 49.06.01, 50.06.01, 51.06.01</t>
  </si>
  <si>
    <t>654642.08.01</t>
  </si>
  <si>
    <t>Философия политики и права: Энц. сл. / Под ред. Никандрова А.В.-М.:НИЦ ИНФРА-М,2024-551с.(Б-ка сл. ИНФРА-М)(П)</t>
  </si>
  <si>
    <t>ФИЛОСОФИЯ ПОЛИТИКИ И ПРАВА: ЭНЦИКЛОПЕДИЧЕСКИЙ СЛОВАРЬ</t>
  </si>
  <si>
    <t>Аласания К.Ю., Аношкин П.П., Антонова В.Н. и др.</t>
  </si>
  <si>
    <t>978-5-16-012922-8</t>
  </si>
  <si>
    <t>41.03.06, 41.04.04, 47.04.01</t>
  </si>
  <si>
    <t>708233.01.01</t>
  </si>
  <si>
    <t>Философия созидания (введение к теории): Моногр. /М.А.Петров-М.:НИЦ ИНФРА-М,2019-195с(Науч.мысль)(О)</t>
  </si>
  <si>
    <t>ФИЛОСОФИЯ СОЗИДАНИЯ (ВВЕДЕНИЕ К ТЕОРИИ)</t>
  </si>
  <si>
    <t>Петров М.А.</t>
  </si>
  <si>
    <t>978-5-16-015237-0</t>
  </si>
  <si>
    <t>672658.01.01</t>
  </si>
  <si>
    <t>Философия социального упр. в техногенном обществе:Моногр./ О.А.Беленкова-М.:НИЦ ИНФРА-М,2018-113с</t>
  </si>
  <si>
    <t>ФИЛОСОФИЯ СОЦИАЛЬНОГО УПРАВЛЕНИЯ В ТЕХНОГЕННОМ ОБЩЕСТВЕ</t>
  </si>
  <si>
    <t>Беленкова О.А., Вежнина Е.В.</t>
  </si>
  <si>
    <t>Научная мысль - УфимГНТУ</t>
  </si>
  <si>
    <t>978-5-16-013724-7</t>
  </si>
  <si>
    <t>435100.04.01</t>
  </si>
  <si>
    <t>Философия социологии: Моногр. / Л.А.Петрушенко  -М.:НИЦ ИНФРА-М,2024 - 279 с.(Науч.мысль)(П)</t>
  </si>
  <si>
    <t>ФИЛОСОФИЯ СОЦИОЛОГИИ</t>
  </si>
  <si>
    <t>978-5-16-011315-9</t>
  </si>
  <si>
    <t>01.03.02, 02.03.02, 02.03.03, 03.03.02, 04.03.02, 05.03.03, 05.03.04, 05.03.06, 06.03.02, 19.03.04, 29.03.02, 37.03.01, 38.03.01, 38.03.02, 38.03.03, 38.03.04, 39.03.02, 39.03.03, 41.03.06, 42.03.01, 44.03.01, 44.03.05, 45.03.04, 51.03.01, 51.03.02, 51.03.03, 51.03.04, 51.03.06, 52.03.05</t>
  </si>
  <si>
    <t>698436.01.01</t>
  </si>
  <si>
    <t>Философия уголовного права: постановка вопроса / С.А.Бочкарев-М.:Юр.Норма,2019.-424 с.(П)</t>
  </si>
  <si>
    <t>ФИЛОСОФИЯ УГОЛОВНОГО ПРАВА: ПОСТАНОВКА ВОПРОСА</t>
  </si>
  <si>
    <t>Бочкарев С.А.</t>
  </si>
  <si>
    <t>978-5-91768-984-5</t>
  </si>
  <si>
    <t>40.04.01, 40.05.01, 40.05.02, 40.05.03, 40.06.01, 47.04.01</t>
  </si>
  <si>
    <t>726641.04.01</t>
  </si>
  <si>
    <t>Философия физики: к новым принципам науч. знания: Моногр. / И.А.Карпенко - М.:НИЦ ИНФРА-М,2024-203 с.(о)</t>
  </si>
  <si>
    <t>ФИЛОСОФИЯ ФИЗИКИ: К НОВЫМ ПРИНЦИПАМ НАУЧНОГО ЗНАНИЯ</t>
  </si>
  <si>
    <t>Карпенко И.А.</t>
  </si>
  <si>
    <t>978-5-16-016424-3</t>
  </si>
  <si>
    <t>00.05.11, 46.03.01, 47.03.02</t>
  </si>
  <si>
    <t>177550.05.98</t>
  </si>
  <si>
    <t>Философия экономики в России..: Моногр. / А.М.Орехов - М.:НИЦ ИНФРА-М,2016.-140 с.-(Науч.мысль)(о)</t>
  </si>
  <si>
    <t>ФИЛОСОФИЯ ЭКОНОМИКИ В РОССИИ: РОЖДЕНИЕ ТРАДИЦИИ</t>
  </si>
  <si>
    <t>978-5-16-005478-0</t>
  </si>
  <si>
    <t>38.03.01, 38.04.01, 40.03.01, 44.03.01, 44.03.05, 47.03.01, 47.04.01</t>
  </si>
  <si>
    <t>177550.08.01</t>
  </si>
  <si>
    <t>Философия экономики в России: Монография / А.М.Орехов, - 2 изд..-М.:НИЦ ИНФРА-М,2020.-154 с.(О)</t>
  </si>
  <si>
    <t>ФИЛОСОФИЯ ЭКОНОМИКИ В РОССИИ: РОЖДЕНИЕ ТРАДИЦИИ, ИЗД.2</t>
  </si>
  <si>
    <t>978-5-16-013129-0</t>
  </si>
  <si>
    <t>376400.04.01</t>
  </si>
  <si>
    <t>Философия экономики: Уч. пос. / И.Н.Тяпин-М.:Магистр, НИЦ ИНФРА-М,2023.-304 с.(О)</t>
  </si>
  <si>
    <t>ФИЛОСОФИЯ ЭКОНОМИКИ</t>
  </si>
  <si>
    <t>Тяпин И.Н.</t>
  </si>
  <si>
    <t>978-5-9776-0370-6</t>
  </si>
  <si>
    <t>00.03.16, 00.04.17, 38.03.01, 38.04.01, 38.06.01</t>
  </si>
  <si>
    <t>Вологодский государственный университет</t>
  </si>
  <si>
    <t>076800.11.01</t>
  </si>
  <si>
    <t>Философия экономической науки: Уч.пос. / В.А.Канке-М.:ИНФРА-М Издательский Дом,2023.-384 с.(ВО)(П)</t>
  </si>
  <si>
    <t>ФИЛОСОФИЯ ЭКОНОМИЧЕСКОЙ НАУКИ</t>
  </si>
  <si>
    <t>Канке В. А.</t>
  </si>
  <si>
    <t>978-5-16-002771-5</t>
  </si>
  <si>
    <t>38.03.01, 38.04.01, 38.04.02</t>
  </si>
  <si>
    <t>Рекомендовано Учебно-методическим объединением вузов России по образованию в области экономики и экономической теории в качестве учебного пособия для студентов, обучающихся по напр. "Экономика" и экономическим специальностям</t>
  </si>
  <si>
    <t>449550.07.01</t>
  </si>
  <si>
    <t>Философия. Язык. Культура: Моногр./ Д.А.Силичев - М:Вуз. уч.: ИНФРА-М,2023-311с. (Науч. кн.) (о)</t>
  </si>
  <si>
    <t>ФИЛОСОФИЯ. ЯЗЫК. КУЛЬТУРА</t>
  </si>
  <si>
    <t>978-5-9558-0331-9</t>
  </si>
  <si>
    <t>255100.08.01</t>
  </si>
  <si>
    <t>Философия: введение в метафизику и онтология: Уч. / В.В. Миронов - М: ИНФРА-М, 2023. - 310 с. (ВО) (п)</t>
  </si>
  <si>
    <t>ФИЛОСОФИЯ: ВВЕДЕНИЕ В МЕТАФИЗИКУ И ОНТОЛОГИЯ</t>
  </si>
  <si>
    <t>Миронов В. В., Иванов А. В.</t>
  </si>
  <si>
    <t>978-5-16-009447-2</t>
  </si>
  <si>
    <t>00.03.11, 40.03.01, 44.03.01, 44.03.05</t>
  </si>
  <si>
    <t>Допущено УМО по классическому университетскому образованию в качестве учебника для студентов высших учебных заведений, обучающихся по направлению подготовки ВПО 47.03.01 (030100) «Философия»</t>
  </si>
  <si>
    <t>255200.07.01</t>
  </si>
  <si>
    <t>Философия: гносеология и аксиология: Уч. / В.В.Миронов - М.:НИЦ ИНФРА-М,2023-335с(ВО: Бакалавр.)(П)</t>
  </si>
  <si>
    <t>ФИЛОСОФИЯ: ГНОСЕОЛОГИЯ И АКСИОЛОГИЯ</t>
  </si>
  <si>
    <t>978-5-16-009448-9</t>
  </si>
  <si>
    <t>654216.09.01</t>
  </si>
  <si>
    <t>Философия: Уч. / В.А.Канке-М.:НИЦ ИНФРА-М,2023.-291 с..-(ВО)(п)</t>
  </si>
  <si>
    <t>ФИЛОСОФИЯ</t>
  </si>
  <si>
    <t>978-5-16-018664-1</t>
  </si>
  <si>
    <t>00.03.11, 00.05.11, 26.02.04</t>
  </si>
  <si>
    <t>Рекомендовано в качестве учебника для студентов высших учебных заведений, обучающихся по всем направлениям подготовки (квалификация (степень) «бакалавр»)</t>
  </si>
  <si>
    <t>057000.18.01</t>
  </si>
  <si>
    <t>Философия: Уч. / В.В.Миронов - М.:Юр.Норма, НИЦ ИНФРА-М,2023 - 928 с.(П)</t>
  </si>
  <si>
    <t>Миронов В.В.</t>
  </si>
  <si>
    <t>978-5-91768-691-2</t>
  </si>
  <si>
    <t>016774.23.01</t>
  </si>
  <si>
    <t>Философия: Уч. / В.Г. Кузнецов - М.: НИЦ ИНФРА-М, 2024. - 519 с. (ВО: Бакалавриат) (п)</t>
  </si>
  <si>
    <t>Кузнецов В. Г., Кузнецова И. Д., Момджян К. Х., Миронов В. В.</t>
  </si>
  <si>
    <t>978-5-16-003566-6</t>
  </si>
  <si>
    <t>00.03.11, 00.05.11, 38.03.01, 38.03.02, 38.03.03, 38.03.04, 38.03.05, 38.03.06, 38.03.07, 38.03.10, 38.05.01, 38.05.02</t>
  </si>
  <si>
    <t>Рекомендовано Министерством общего и профессионального образования РФ в качестве учебника для студентов высших учебных заведений, обучающихся по экономическим специальностям и направлениям</t>
  </si>
  <si>
    <t>734792.03.01</t>
  </si>
  <si>
    <t>Философия: Уч. / В.Е.Семенов и др. - М.:Юр.Норма, НИЦ ИНФРА-М,2024 - 336 с.(П)</t>
  </si>
  <si>
    <t>Семенов В.Е., Беляев М.А., Огородников А.Ю. и др.</t>
  </si>
  <si>
    <t>978-5-00156-064-7</t>
  </si>
  <si>
    <t>078350.11.01</t>
  </si>
  <si>
    <t>Философия: Уч. / И.З. Налетов. - М.: ИНФРА-М, 2023. - 400 с. (ВО) (п)</t>
  </si>
  <si>
    <t>Налетов И. З.</t>
  </si>
  <si>
    <t>978-5-16-002777-7</t>
  </si>
  <si>
    <t>00.03.11, 00.05.11, 40.03.01, 44.03.01, 44.03.05, 47.03.01, 47.04.01</t>
  </si>
  <si>
    <t>Допущено Мин. обр. и науки РФ в качестве учебника для студентов высших учебных заведений, обучающихся по направлениям подг. и  специальностям естественно-научного, технического, социально-гуманитарного профиля</t>
  </si>
  <si>
    <t>654154.07.01</t>
  </si>
  <si>
    <t>Философия: Уч. / И.И.Кальной, - 3-е изд.-М :Вуз. уч., НИЦ ИНФРА-М,2021.-384 с.(П)</t>
  </si>
  <si>
    <t>ФИЛОСОФИЯ, ИЗД.3</t>
  </si>
  <si>
    <t>978-5-9558-0552-8</t>
  </si>
  <si>
    <t>201400.09.01</t>
  </si>
  <si>
    <t>Философия: Уч. / О.Г.Данильян, - 2 изд.-М.:НИЦ ИНФРА-М,2024.-432 с.(ВО: Бакалавриат)(п)</t>
  </si>
  <si>
    <t>ФИЛОСОФИЯ, ИЗД.2</t>
  </si>
  <si>
    <t>978-5-16-005473-5</t>
  </si>
  <si>
    <t>745621.04.01</t>
  </si>
  <si>
    <t>Философия: Уч. / О.Ю.Рыбаков - М.:Юр.Норма, НИЦ ИНФРА-М,2023 - 536 с.(П)</t>
  </si>
  <si>
    <t>978-5-00156-100-2</t>
  </si>
  <si>
    <t>00.05.11, 40.05.01, 40.05.02, 40.05.03, 40.05.04</t>
  </si>
  <si>
    <t>753475.03.01</t>
  </si>
  <si>
    <t>Философия: Уч. / Под ред. Ореховской Н.А. - М.:НИЦ ИНФРА-М,2023 - 477 с.(ВО: Бакалавриат)(П)</t>
  </si>
  <si>
    <t>Ореховская Н.А.</t>
  </si>
  <si>
    <t>978-5-16-016813-5</t>
  </si>
  <si>
    <t>00.03.11, 00.05.11, 47.03.01</t>
  </si>
  <si>
    <t>745708.01.01</t>
  </si>
  <si>
    <t>Философия: Уч. / С.А.Нижников - М.:НИЦ ИНФРА-М,2021 - 461 с.-(ВО: Специалитет)(П)</t>
  </si>
  <si>
    <t>978-5-16-016551-6</t>
  </si>
  <si>
    <t>00.05.11, 38.05.01, 38.05.02, 40.05.01, 40.05.02, 40.05.03, 40.05.04</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</si>
  <si>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программам специалитета  (протокол № 8 от 22.06.2020)</t>
  </si>
  <si>
    <t>183200.11.01</t>
  </si>
  <si>
    <t>Философия: Уч. / С.А.Нижников-М.:НИЦ ИНФРА-М,2023.-461 с.(ВО: Бакалавриат)(П)</t>
  </si>
  <si>
    <t>978-5-16-005190-1</t>
  </si>
  <si>
    <t>Рекомендовано Научно-методическим Советом по философии Министерства образования и науки  России в качестве учебника по дисциплине "Философия" для студентов-бакалавров всех специальностей и направлений</t>
  </si>
  <si>
    <t>097900.11.01</t>
  </si>
  <si>
    <t>Философия: Уч. / Э.В. Островский. - М.: Вуз. уч.:  НИЦ Инфра-М, 2024. - 313с. (п)</t>
  </si>
  <si>
    <t>978-5-9558-0044-8</t>
  </si>
  <si>
    <t>Рекомендовано Мин. обр. и науки РФ в качестве учебника  для студентов вузов, обучающихся по нефилософским специальностям</t>
  </si>
  <si>
    <t>183700.05.01</t>
  </si>
  <si>
    <t>Философия: Уч. пос. / А.Т.Свергузов - М.: Альфа-М, НИЦ ИНФРА-М, 2016 - 192 с. (Бакалавриат) (п)</t>
  </si>
  <si>
    <t>978-5-98281-291-9</t>
  </si>
  <si>
    <t>Рекомендовано Советом Учебно-методического объединения вузов России по образованию в области менеджмента в качестве учебного пособия для студентов высших учебных заведений, обучающихся по специальности "Менеджмент"</t>
  </si>
  <si>
    <t>055660.15.01</t>
  </si>
  <si>
    <t>Философия: Уч. пос. / В.Э. Вечканов. - 2 изд. - М.: ИЦ РИОР:НИЦ Инфра-М,2024-136с.(ВПО: Бакалавр.) (о)</t>
  </si>
  <si>
    <t>Вечканов В. Э., Лучков Н. А.</t>
  </si>
  <si>
    <t>978-5-369-01070-9</t>
  </si>
  <si>
    <t>665095.06.01</t>
  </si>
  <si>
    <t>Философия: Уч.пос. / А.В.Климович - 2 изд. -  М.:НИЦ ИНФРА-М,2023 - 162 с.-(ВО: Бакалавр.)(П)</t>
  </si>
  <si>
    <t>Климович А.В., Степанович В.А.</t>
  </si>
  <si>
    <t>978-5-16-013261-7</t>
  </si>
  <si>
    <t>183700.12.01</t>
  </si>
  <si>
    <t>Философия: Уч.пос. / А.Т.Свергузов - 2 изд. - М.:НИЦ ИНФРА-М,2023 - 180 с.-(ВО: Бакалавриат)(П)</t>
  </si>
  <si>
    <t>Свергузов А. Т.</t>
  </si>
  <si>
    <t>978-5-16-011951-9</t>
  </si>
  <si>
    <t>Рекомендовано в качестве учебного пособия для студентов высших учебных заведений, обучающихся по инженерным и естественно-научным направлениям подготовки (квалификация (степень) «бакалавр»)</t>
  </si>
  <si>
    <t>642173.05.01</t>
  </si>
  <si>
    <t>Философия: Уч.пос. / И.А.Карпенко - М.:НИЦ ИНФРА-М,2023 - 190 с.-(ВО: Бакалавриат)(П)</t>
  </si>
  <si>
    <t>978-5-16-013644-8</t>
  </si>
  <si>
    <t>Рекомендовано Учебно-методическим советом ВО в качестве учебного пособия для студентов высших учебных заведений, обучающихся  по гуманитарным и техническим направлениям подготовки (квалификация (степень) «бакалавр»)</t>
  </si>
  <si>
    <t>412200.09.01</t>
  </si>
  <si>
    <t>Философия: Уч.пос. / Под ред. Руденко А.М.-М.:НИЦ ИНФРА-М,2021.-304 с.(ВО: Бакалавр.)(П)</t>
  </si>
  <si>
    <t>Руденко А. М., Самыгин С. И., Положенкова Е. Ю., Руденко А. М.</t>
  </si>
  <si>
    <t>978-5-16-006199-3</t>
  </si>
  <si>
    <t>646402.04.01</t>
  </si>
  <si>
    <t>Философская антропология: Уч. пос./ Л.Е.Моторина - 3 изд. - М.:НИЦ ИНФРА-М,2024-236с.(ВО)(п)</t>
  </si>
  <si>
    <t>ФИЛОСОФСКАЯ АНТРОПОЛОГИЯ, ИЗД.3</t>
  </si>
  <si>
    <t>Моторина Л.Е.</t>
  </si>
  <si>
    <t>Высшее образование (МАТИ-МАИ)</t>
  </si>
  <si>
    <t>978-5-16-011764-5</t>
  </si>
  <si>
    <t>Рекомендовано Министерством образования и науки Российской Федерации в качестве учебного пособия для студентов высших учебных заведений</t>
  </si>
  <si>
    <t>693937.05.01</t>
  </si>
  <si>
    <t>Философские основания полит.-прав.исслед.: Моногр./Д.А.Керимов-М.:Юр.Норма, НИЦ ИНФРА-М,2022-336с(П)</t>
  </si>
  <si>
    <t>ФИЛОСОФСКИЕ ОСНОВАНИЯ ПОЛИТИКО-ПРАВОВЫХ ИССЛЕДОВАНИЙ</t>
  </si>
  <si>
    <t>Керимов Д.А.</t>
  </si>
  <si>
    <t>978-5-91768-969-2</t>
  </si>
  <si>
    <t>40.03.01, 40.04.01, 40.05.01, 40.05.02, 40.05.03, 41.03.04, 41.03.06, 44.03.05</t>
  </si>
  <si>
    <t>740610.03.01</t>
  </si>
  <si>
    <t>Философские основы духовности: Моногр. / Е.В.Аралова.-М.:НИЦ ИНФРА-М,2022.-262 с.(Науч.мысль)(О)</t>
  </si>
  <si>
    <t>ФИЛОСОФСКИЕ ОСНОВЫ ДУХОВНОСТИ</t>
  </si>
  <si>
    <t>Аралова Е.В., Кащенко Т.Л., Положенцева И.В. и др.</t>
  </si>
  <si>
    <t>978-5-16-016357-4</t>
  </si>
  <si>
    <t>435300.01.98</t>
  </si>
  <si>
    <t>Философские этюды: Монография / Л.А.Петрушенко - М. : НИЦ ИНФРА-М, 2016.- 159 с..-(Науч. мысль) (о)</t>
  </si>
  <si>
    <t>ФИЛОСОФСКИЕ ЭТЮДЫ</t>
  </si>
  <si>
    <t>978-5-16-011316-6</t>
  </si>
  <si>
    <t>39.04.01, 44.04.01, 44.04.04, 45.04.01</t>
  </si>
  <si>
    <t>668662.03.01</t>
  </si>
  <si>
    <t>Философский анализ станд. естеств. рос. и заруб. обществ: Моногр. / Р.Н.Галиахметов-М:НИЦ ИНФРА-М, СФУ,2023-115с</t>
  </si>
  <si>
    <t>ФИЛОСОФСКИЙ АНАЛИЗ СТАНДАРТОВ ЕСТЕСТВЕННОСТИ РОССИЙСКИХ И ЗАРУБЕЖНЫХ ОБЩЕСТВ</t>
  </si>
  <si>
    <t>Галиахметов Р.Н., Дуреева Н.С.</t>
  </si>
  <si>
    <t>978-5-16-013277-8</t>
  </si>
  <si>
    <t>729680.04.01</t>
  </si>
  <si>
    <t>Философско-антропологический проект российского...: Моногр. / О.Д.Маслобоева - М.:ИНФРА-М,2024-390с.(О)</t>
  </si>
  <si>
    <t>ФИЛОСОФСКО-АНТРОПОЛОГИЧЕСКИЙ ПРОЕКТ РОССИЙСКОГО ОРГАНИЦИЗМА И РУССКОГО КОСМИЗМА В КОНТЕКСТЕ СОВРЕМЕННОЙ ИСТОРИЧЕСКОЙ СИТУАЦИИ</t>
  </si>
  <si>
    <t>Маслобоева О.Д.</t>
  </si>
  <si>
    <t>978-5-16-015932-4</t>
  </si>
  <si>
    <t>657623.02.01</t>
  </si>
  <si>
    <t>Философско-мистические традиции мира: Моногр. / Н.С.Жиртуева - М.:Вуз.уч., НИЦ ИНФРА-М,2018- 274с(О)</t>
  </si>
  <si>
    <t>ФИЛОСОФСКО-МИСТИЧЕСКИЕ ТРАДИЦИИ МИРА</t>
  </si>
  <si>
    <t>Жиртуева Н.С.</t>
  </si>
  <si>
    <t>978-5-9558-0574-0</t>
  </si>
  <si>
    <t>37.03.01, 40.03.01, 44.03.01, 44.03.05, 46.03.01, 47.03.01, 47.03.03, 47.04.01, 47.04.03, 48.03.01, 51.03.01, 51.03.04, 54.03.04</t>
  </si>
  <si>
    <t>657623.06.01</t>
  </si>
  <si>
    <t>Философско-мистические традиции мира: Моногр. / Н.С.Жиртуева - М.:Вуз.уч., НИЦ ИНФРА-М,2023-274с(О)</t>
  </si>
  <si>
    <t>ФИЛОСОФСКО-МИСТИЧЕСКИЕ ТРАДИЦИИ МИРА, ИЗД.2</t>
  </si>
  <si>
    <t>978-5-9558-0611-2</t>
  </si>
  <si>
    <t>256500.13.01</t>
  </si>
  <si>
    <t>Флористика: технологии аранжировки композиций: Уч.пос. / Д.Г.Брашнов-М.:НИЦ ИНФРА-М,2024.-221 с.(СПО)(П)</t>
  </si>
  <si>
    <t>ФЛОРИСТИКА: ТЕХНОЛОГИИ АРАНЖИРОВКИ КОМПОЗИЦИЙ</t>
  </si>
  <si>
    <t>Брашнов Д.Г.</t>
  </si>
  <si>
    <t>978-5-16-017496-9</t>
  </si>
  <si>
    <t>43.01.11, 54.02.02</t>
  </si>
  <si>
    <t>Рекомендовано федеральным государственным автономным учреждением «Федеральный институт развития образования» (ФГАУ «ФИРО») в качестве учебного пособия для использования в учебном процессе образовательных учреждений, реализующих программу СПО (регистрационный номер рецензии 403 от 23.09.2013)</t>
  </si>
  <si>
    <t>МПСУ ОАНО ВО</t>
  </si>
  <si>
    <t>054300.14.01</t>
  </si>
  <si>
    <t>Фонетико-орфографический справочник английского яз. / О.М. Корчажкина. - М.: ФОРУМ, 2024. - 256 с. (п)</t>
  </si>
  <si>
    <t>ФОНЕТИКО-ОРФОГРАФИЧЕСКИЙ СПРАВОЧНИК АНГЛИЙСКОГО ЯЗЫКА</t>
  </si>
  <si>
    <t>Корчажкина О. М., Тихонова Р. М.</t>
  </si>
  <si>
    <t>5-8199-0132-0</t>
  </si>
  <si>
    <t>Допущено УМО по специальностям педагогического образования в качестве учебного пособия для студентов вузов, обучающихся по специальности 033200 - иностранный язык</t>
  </si>
  <si>
    <t>Средняя общеобразовательная школа №1298 г. Москвы</t>
  </si>
  <si>
    <t>643111.05.01</t>
  </si>
  <si>
    <t>Формирование новой эконом. интеллигенции..: Моногр. / Г.Г.Силласте - М.:НИЦ ИНФРА-М,2023 - 206с.(П)</t>
  </si>
  <si>
    <t>ФОРМИРОВАНИЕ НОВОЙ ЭКОНОМИЧЕСКОЙ ИНТЕЛЛИГЕНЦИИ В УСЛОВИЯХ РЫНОЧНОЙ ЭКОНОМИКИ</t>
  </si>
  <si>
    <t>Силласте Г.Г., Борисов Ю.В.</t>
  </si>
  <si>
    <t>978-5-16-012376-9</t>
  </si>
  <si>
    <t>407400.05.01</t>
  </si>
  <si>
    <t>Фотодело: Уч.пос. / А.В.Левкина - М.:Альфа-М, НИЦ ИНФРА-М,2017 - 319 с.-(ПРОФИль)(п)</t>
  </si>
  <si>
    <t>ФОТОДЕЛО</t>
  </si>
  <si>
    <t>978-5-98281-319-0</t>
  </si>
  <si>
    <t>Рекомендовано федеральным государственным автономным учреждением «Федеральный институт развития образования» (ФГАУ «ФИРО») в качестве учебного пособия для использования в учебном процессе образовательных учреждений, реализующих программу СПО по специальности 54.02.08 «Техника и искусство фотографии»</t>
  </si>
  <si>
    <t>170850.13.01</t>
  </si>
  <si>
    <t>Фотомонтаж. Пособие для фотохудожников: Уч.пос. / А.П.Крылов - М.:КУРС, НИЦ ИНФРА-М,2023 - 80 с.(О)</t>
  </si>
  <si>
    <t>ФОТОМОНТАЖ. ПОСОБИЕ ДЛЯ ФОТОХУДОЖНИКОВ</t>
  </si>
  <si>
    <t>Крылов А. П.</t>
  </si>
  <si>
    <t>978-5-905554-05-6</t>
  </si>
  <si>
    <t>42.03.02, 42.03.04, 51.03.02, 54.02.08, 54.03.01, 54.04.01</t>
  </si>
  <si>
    <t>Московская государственная художественно-промышленная академия им. С.Г. Строганова</t>
  </si>
  <si>
    <t>738658.07.01</t>
  </si>
  <si>
    <t>Фразеологические ед. в аспекте лингвистич...: Уч.пос. / Е.А.Чубина-М.:Юр.Норма, НИЦ ИНФРА-М,2024.-192 с.(П)</t>
  </si>
  <si>
    <t>ФРАЗЕОЛОГИЧЕСКИЕ ЕДИНИЦЫ В АСПЕКТЕ ЛИНГВИСТИЧЕСКОЙ ЭКСПЕРТИЗЫ</t>
  </si>
  <si>
    <t>Чубина Е.А.</t>
  </si>
  <si>
    <t>978-5-00156-075-3</t>
  </si>
  <si>
    <t>720222.01.01</t>
  </si>
  <si>
    <t>Фрактально-хаотические свойства когнитивных процес.../ В.Г.Каменская-М.:НИЦ ИНФРА-М,2020.-217 с.(О)</t>
  </si>
  <si>
    <t>ФРАКТАЛЬНО-ХАОТИЧЕСКИЕ СВОЙСТВА КОГНИТИВНЫХ ПРОЦЕССОВ: ВОЗРАСТНОЙ АСПЕКТ</t>
  </si>
  <si>
    <t>Каменская В.Г., Томанов Л.В.</t>
  </si>
  <si>
    <t>978-5-16-015748-1</t>
  </si>
  <si>
    <t>37.03.01, 37.06.01, 44.03.04, 44.03.05</t>
  </si>
  <si>
    <t>631893.03.01</t>
  </si>
  <si>
    <t>Французский язык в Африке: проблемы интерференции: Моногр. / Ж.Багана-М.:НИЦ ИНФРА-М,2024-163с.(о)</t>
  </si>
  <si>
    <t>ФРАНЦУЗСКИЙ ЯЗЫК В АФРИКЕ: ПРОБЛЕМЫ ИНТЕРФЕРЕНЦИИ</t>
  </si>
  <si>
    <t>Багана Ж.</t>
  </si>
  <si>
    <t>978-5-16-019040-2</t>
  </si>
  <si>
    <t>45.03.02</t>
  </si>
  <si>
    <t>059700.13.01</t>
  </si>
  <si>
    <t>Французский язык: Уч.пос. / Т.И.Лалова - М.:Форум, ИНФРА-М Изд. Дом,2024 - 336 с.-(ВО)(П)</t>
  </si>
  <si>
    <t>ФРАНЦУЗСКИЙ ЯЗЫК</t>
  </si>
  <si>
    <t>Лалова Т. И.</t>
  </si>
  <si>
    <t>978-5-8199-0127-4</t>
  </si>
  <si>
    <t>760263.03.01</t>
  </si>
  <si>
    <t>Фундаментальные основы соц. конфликта: Уч. / М.Ю.Зеленков-М.:НИЦ ИНФРА-М,2023.-321 с.(ВО:Магистр)(п)</t>
  </si>
  <si>
    <t>ФУНДАМЕНТАЛЬНЫЕ ОСНОВЫ СОЦИАЛЬНОГО КОНФЛИКТА</t>
  </si>
  <si>
    <t>978-5-16-017263-7</t>
  </si>
  <si>
    <t>37.04.02, 41.03.05, 41.03.06</t>
  </si>
  <si>
    <t>737705.01.01</t>
  </si>
  <si>
    <t>Функционально-семантич. категория альтернатив. в свете традиц...: Моногр. / Н.Г.Склярова-М.:НИЦ ИНФРА-М,2022-413с(О)</t>
  </si>
  <si>
    <t>ФУНКЦИОНАЛЬНО-СЕМАНТИЧЕСКАЯ КАТЕГОРИЯ АЛЬТЕРНАТИВНОСТИ В СВЕТЕ ТРАДИЦИОННЫХ И СОВРЕМЕННЫХ ЛИНГВИСТИЧЕСКИХ КОНЦЕПЦИЙ</t>
  </si>
  <si>
    <t>978-5-16-017032-9</t>
  </si>
  <si>
    <t>45.04.01, 45.04.02, 45.04.03</t>
  </si>
  <si>
    <t>279600.07.01</t>
  </si>
  <si>
    <t>Характеры героев Шекспира: Монография / С.Ю.Поройков - М.:НИЦ ИНФРА-М,2022 - 240 с.-(Науч.мысль)(О)</t>
  </si>
  <si>
    <t>ХАРАКТЕРЫ ГЕРОЕВ ШЕКСПИРА</t>
  </si>
  <si>
    <t>978-5-16-009822-7</t>
  </si>
  <si>
    <t>37.03.01, 37.04.01, 44.03.01, 44.03.05, 45.03.01, 45.04.01, 45.06.01</t>
  </si>
  <si>
    <t>639321.04.01</t>
  </si>
  <si>
    <t>Хемингуэй и его женщины. Страницы жизни и творч.: Моногр. / Б.А.Гиленсон-М.:НИЦ ИНФРА-М,2023.-264 с.(о)</t>
  </si>
  <si>
    <t>ХЕМИНГУЭЙ И ЕГО ЖЕНЩИНЫ. СТРАНИЦЫ ЖИЗНИ И ТВОРЧЕСТВА</t>
  </si>
  <si>
    <t>978-5-16-018559-0</t>
  </si>
  <si>
    <t>329700.09.01</t>
  </si>
  <si>
    <t>Хореографическое искусство и балетмейстер: Уч.пос. / В.Н.Карпенко - М.:НИЦ ИНФРА-М,2024 - 192с.(ВО)(О)</t>
  </si>
  <si>
    <t>ХОРЕОГРАФИЧЕСКОЕ ИСКУССТВО И БАЛЕТМЕЙСТЕР</t>
  </si>
  <si>
    <t>В.Н.Карпенко, И.А.Карпенко, Ж.Багана</t>
  </si>
  <si>
    <t>978-5-16-019114-0</t>
  </si>
  <si>
    <t>51.03.02</t>
  </si>
  <si>
    <t>Рекомендовано в качестве учебного пособия для студентов высших учебных заведений, обучающихся по направлению подготовки 52.03.01 «Хореографическое искусство» (квалификация (степень) «бакалавр»)</t>
  </si>
  <si>
    <t>641987.07.01</t>
  </si>
  <si>
    <t>Христианская психология: Уч.пос. / С.В.Кондратьев - М.:НИЦ ИНФРА-М,2024 - 191 с.(ВО)(п)</t>
  </si>
  <si>
    <t>ХРИСТИАНСКАЯ ПСИХОЛОГИЯ</t>
  </si>
  <si>
    <t>Кондратьев С.В., Кондратьева О.В.</t>
  </si>
  <si>
    <t>978-5-16-019210-9</t>
  </si>
  <si>
    <t>37.03.01, 44.03.01, 44.03.02, 44.04.01, 44.04.02, 48.03.01, 48.04.01</t>
  </si>
  <si>
    <t>Для студентов высших образовательных организаций всех форм обучения по направлениям подготовки: 48.03.01 «Теология» (бакалавриат);¶48.04.01 «Теология» (магистратура); 37.03.01 «Психология» (бакалавриат духовных образовательных организаций); 37.04.01 «Психология» (магистратура духовных образовательных организаций); 44.03.02 «Психолого-педагогическое образование» (бакалавриат духовных образовательных организаций); 44.04.02 «Психолого-педагогическое образование» (магистратура духовных образовательных организаций); 44.03.01 «Педагогическое образование» (бакалавриат духовных образовательных организаций); 44.04.01 «Педагогическое образование» (магистратура духовных образовательных организаций). Для обучающихся в казачьих высших образовательных организациях всех форм обучения по всем направлениям профессиональной подготовки</t>
  </si>
  <si>
    <t>155100.07.01</t>
  </si>
  <si>
    <t>Христианские писатели II-XV вв. Византия и латин. Запад: Сл.-справ. / Ю.В.Балакин - Форум,2024 - 576с. (П)</t>
  </si>
  <si>
    <t>ХРИСТИАНСКИЕ ПИСАТЕЛИ II-XV ВЕКОВ. ВИЗАНТИЯ И ЛАТИНСКИЙ ЗАПАД</t>
  </si>
  <si>
    <t>Балакин Ю. В.</t>
  </si>
  <si>
    <t>978-5-91134-497-9</t>
  </si>
  <si>
    <t>431800.07.01</t>
  </si>
  <si>
    <t>Христианство в современном мире: Уч.пос./ О.Е.Казьмина. - М.: НИЦ ИНФРА-М, 2024 - 240с.(ВО:Магистр.) (п)</t>
  </si>
  <si>
    <t>ХРИСТИАНСТВО В СОВРЕМЕННОМ МИРЕ</t>
  </si>
  <si>
    <t>Казьмина О. Е.</t>
  </si>
  <si>
    <t>978-5-16-006425-3</t>
  </si>
  <si>
    <t>46.03.01, 46.04.01, 47.03.03, 47.04.03</t>
  </si>
  <si>
    <t>Допущено Учебно-методическим объединением по классическому университетскому образованию в качестве учебного пособия для студентов высших учебных заведений, обучающихся по направлению подготовки 030600 «История» О.Е. Казьмина</t>
  </si>
  <si>
    <t>276900.06.01</t>
  </si>
  <si>
    <t>Художественная деят. в пространстве культ. общ.: Моногр. / Л.Н.Дорогова - ИНФРА-М, 2023-152с. (о)</t>
  </si>
  <si>
    <t>ХУДОЖЕСТВЕННАЯ ДЕЯТЕЛЬНОСТЬ В ПРОСТРАНСТВЕ КУЛЬТУРЫ ОБЩЕСТВА</t>
  </si>
  <si>
    <t>Дорогова Л.Н.</t>
  </si>
  <si>
    <t>978-5-16-009781-7</t>
  </si>
  <si>
    <t>44.03.05, 50.06.01, 50.07.01, 51.03.01, 51.03.02, 51.04.02, 51.06.01</t>
  </si>
  <si>
    <t>Военный университет Министерства обороны Российский Федерации</t>
  </si>
  <si>
    <t>687643.02.01</t>
  </si>
  <si>
    <t>Художественный мир М.А. Шолохова...: Уч.пос. / Л.Г.Сатарова.-М.:НИЦ ИНФРА-М,2024.-300 с.(ВО)(п)</t>
  </si>
  <si>
    <t>ХУДОЖЕСТВЕННЫЙ МИР М.А. ШОЛОХОВА: НОВЫЙ КОНТЕКСТ ПОНИМАНИЯ</t>
  </si>
  <si>
    <t>Сатарова Л.Г., Стюфляева Н.В., Шкурат Л.С. и др.</t>
  </si>
  <si>
    <t>978-5-16-019383-0</t>
  </si>
  <si>
    <t>44.03.01, 44.03.05, 45.03.01, 45.04.01, 52.05.04</t>
  </si>
  <si>
    <t>260300.04.01</t>
  </si>
  <si>
    <t>Цветофразеологизмы рус. и исп. яз. в лингв..: Моногр. / Ж.Багана-М:НИЦ ИНФРА-М,2024-116с(Науч.мысль)</t>
  </si>
  <si>
    <t>ЦВЕТОФРАЗЕОЛОГИЗМЫ РУССКОГО И ИСПАНСКОГО ЯЗЫКОВ В ЛИНГВОКУЛЬТУРНОМ АСПЕКТЕ</t>
  </si>
  <si>
    <t>Багана Ж., Еркова Д. Н.</t>
  </si>
  <si>
    <t>978-5-16-009503-5</t>
  </si>
  <si>
    <t>803683.01.01</t>
  </si>
  <si>
    <t>Ценностные ориентации соврем. рос. молодежи...: Моногр. / М.И.Камалова-М.:НИЦ ИНФРА-М,2024-171 с.(п)</t>
  </si>
  <si>
    <t>ЦЕННОСТНЫЕ ОРИЕНТАЦИИ СОВРЕМЕННОЙ РОССИЙСКОЙ МОЛОДЕЖИ: ПУБЛИЧНАЯ ПОЛИТИКА КАК ПРОСТРАНСТВО ФОРМИРОВАНИЯ</t>
  </si>
  <si>
    <t>Камалова М.И.</t>
  </si>
  <si>
    <t>978-5-16-018573-6</t>
  </si>
  <si>
    <t>653228.06.01</t>
  </si>
  <si>
    <t>Ценностные основания гос.политики: Уч. / В.Э.Багдасарян-М.:НИЦ ИНФРА-М,2024-286с(ВО: Бакалавриат)(П)</t>
  </si>
  <si>
    <t>ЦЕННОСТНЫЕ ОСНОВАНИЯ ГОСУДАРСТВЕННОЙ ПОЛИТИКИ</t>
  </si>
  <si>
    <t>978-5-16-019119-5</t>
  </si>
  <si>
    <t>38.03.04, 41.03.04, 41.03.06, 46.03.01, 51.03.01</t>
  </si>
  <si>
    <t>Рекомендовано в качестве учебника для студентов высших учебных заведений, обучающихся по направлениям подготовки 41.03.04 «Политология», 46.03.01 «История», 51.03.01 «Культурология» (квалификация (степень) «бакалавр»)</t>
  </si>
  <si>
    <t>681408.01.01</t>
  </si>
  <si>
    <t>Ценностный мир совр. рос. молодежи: Моногр. / И.В.Бормотов -М.:НИЦ ИНФРА-М,2022-178 с.(Научная мысль)(О)</t>
  </si>
  <si>
    <t>ЦЕННОСТНЫЙ МИР СОВРЕМЕННОЙ РОССИЙСКОЙ МОЛОДЕЖИ (СОЦИАЛЬНО-ФИЛОСОФСКИЙ АНАЛИЗ)</t>
  </si>
  <si>
    <t>Бормотов И.В.</t>
  </si>
  <si>
    <t>978-5-16-017332-0</t>
  </si>
  <si>
    <t>39.03.03, 39.04.03, 39.06.01</t>
  </si>
  <si>
    <t>Финансовый университет при Правительстве Российской Федерации, Тульский ф-л</t>
  </si>
  <si>
    <t>169450.04.01</t>
  </si>
  <si>
    <t>Центральная Азия в полит. кайзеров. Германии: Моногр./В.В.Ряполов -М.:ИЦ РИОР,НИЦ ИНФРА-М,2019-116с.</t>
  </si>
  <si>
    <t>ЦЕНТРАЛЬНАЯ АЗИЯ В ПОЛИТИКЕ КАЙЗЕРОВСКОЙ ГЕРМАНИИ</t>
  </si>
  <si>
    <t>Ряполов В.В.</t>
  </si>
  <si>
    <t>978-5-369-01008-2</t>
  </si>
  <si>
    <t>41.03.04, 41.04.04, 44.03.01, 44.03.05, 46.03.01, 46.04.01</t>
  </si>
  <si>
    <t>333900.03.01</t>
  </si>
  <si>
    <t>Циклы и общество: Монография / В.В.Афанасьев -М.:НИЦ ИНФРА-М,2019.-238 с..-(Науч.мысль)(О)</t>
  </si>
  <si>
    <t>ЦИКЛЫ И ОБЩЕСТВО</t>
  </si>
  <si>
    <t>978-5-16-010648-9</t>
  </si>
  <si>
    <t>659643.03.01</t>
  </si>
  <si>
    <t>Частицы в современном русском яз. Развитие...: Уч.пос. / В.Н.Шапошников-М.:НИЦ ИНФРА-М,2023-156с(П)</t>
  </si>
  <si>
    <t>ЧАСТИЦЫ В СОВРЕМЕННОМ РУССКОМ ЯЗЫКЕ. РАЗВИТИЕ ГРАММАТИЧЕСКОГО КЛАССА</t>
  </si>
  <si>
    <t>Шапошников В.Н.</t>
  </si>
  <si>
    <t>978-5-16-013026-2</t>
  </si>
  <si>
    <t>45.03.01, 45.03.03</t>
  </si>
  <si>
    <t>Рекомендовано в качестве учебного пособия для студентов высших учебных заведений, обучающихся по направлению подготовки 45.04.01 «Филология» (квалификация (степень) «магистр»)</t>
  </si>
  <si>
    <t>734293.02.01</t>
  </si>
  <si>
    <t>Человек и его просвещение..: Моногр. / Под ред. Кального И.И. - М.:НИЦ ИНФРА-М,2022 - 336 с.(Науч.мысль)(О)</t>
  </si>
  <si>
    <t>ЧЕЛОВЕК И ЕГО ПРОСВЕЩЕНИЕ: ИДЕИ, ПРОЕКТЫ, ПРАКТИКА</t>
  </si>
  <si>
    <t>Володин А.Н., Габриелян А.М., Жупник О.Н. и др.</t>
  </si>
  <si>
    <t>978-5-16-016611-7</t>
  </si>
  <si>
    <t>00.03.04, 00.03.05, 00.03.11, 00.05.04, 00.05.05, 00.05.11</t>
  </si>
  <si>
    <t>657029.03.01</t>
  </si>
  <si>
    <t>Человек политический как нормативный тип личности в Рос..: Моногр. / А.В.Лубский-М.:НИЦ ИНФРА-М,2023-229с(О)</t>
  </si>
  <si>
    <t>ЧЕЛОВЕК ПОЛИТИЧЕСКИЙ КАК НОРМАТИВНЫЙ ТИП ЛИЧНОСТИ В РОССИИ: МЕНТАЛЬНАЯ МАТРИЦА И НОРМАТИВНАЯ МОДЕЛЬ ПОВЕДЕНИЯ</t>
  </si>
  <si>
    <t>Лубский А.В., Лубский Р.А.</t>
  </si>
  <si>
    <t>978-5-16-015683-5</t>
  </si>
  <si>
    <t>39.04.01, 39.06.01, 41.04.04, 41.06.01, 46.04.03, 51.06.01</t>
  </si>
  <si>
    <t>671332.03.01</t>
  </si>
  <si>
    <t>Человек рисующий. Отображение иерарх.и инверсив...: Моногр./ Д.А.Севостьянов-М.:НИЦ ИНФРА-М,2024-208с(П)</t>
  </si>
  <si>
    <t>ЧЕЛОВЕК РИСУЮЩИЙ. ОТОБРАЖЕНИЕ ИЕРАРХИЧЕСКИХ И ИНВЕРСИВНЫХ ОТНОШЕНИЙ В ГРАФИЧЕСКОЙ ДЕЯТЕЛЬНОСТИ</t>
  </si>
  <si>
    <t>978-5-16-013504-5</t>
  </si>
  <si>
    <t>31.05.02, 37.03.01, 37.05.01, 44.03.01, 44.03.02, 44.03.03, 44.03.04, 44.03.05, 44.05.01</t>
  </si>
  <si>
    <t>753390.01.01</t>
  </si>
  <si>
    <t>Человек: индивид, индивидуал., личность: Моногр. / Под ред. Кального И.И.-М.:НИЦ ИНФРА-М,2022.-351 с.(Науч.мысль)(П)</t>
  </si>
  <si>
    <t>ЧЕЛОВЕК: ИНДИВИД, ИНДИВИДУАЛЬНОСТЬ, ЛИЧНОСТЬ</t>
  </si>
  <si>
    <t>Бельский В.Ю., Боровинская Д.Н., Воеводин А.П. и др.</t>
  </si>
  <si>
    <t>978-5-16-017105-0</t>
  </si>
  <si>
    <t>00.05.10, 00.05.11, 44.03.01, 47.04.01, 47.06.01, 51.04.01</t>
  </si>
  <si>
    <t>Московский университет Министерства внутренних дел Российской Федерации им. В.Я. Кикотя</t>
  </si>
  <si>
    <t>813143.01.01</t>
  </si>
  <si>
    <t>Человеческая идентичность в цифровую эпоху: Моногр. / Под ред. Евстратова Ю.А.-М.:НИЦ ИНФРА-М,2024.-140 с.(о)</t>
  </si>
  <si>
    <t>ЧЕЛОВЕЧЕСКАЯ ИДЕНТИЧНОСТЬ В ЦИФРОВУЮ ЭПОХУ: ГУМАНИТАРНЫЕ И СОЦИАЛЬНЫЕ АСПЕКТЫ</t>
  </si>
  <si>
    <t>Власова И.В., Гулый А.М., Гуров М.П. и др.</t>
  </si>
  <si>
    <t>978-5-16-019094-5</t>
  </si>
  <si>
    <t>37.03.01, 38.04.01, 38.06.01, 39.03.01, 39.04.01, 39.06.01, 39.07.01, 40.04.01, 40.06.01, 41.03.04, 41.06.01, 41.07.01, 44.04.01, 44.06.01, 44.07.01, 46.04.01, 46.06.01, 47.04.01, 47.06.01, 47.07.01</t>
  </si>
  <si>
    <t>Санкт-Петербургский военный ордена Жукова институт войск национальной гвардии Российской Федерации</t>
  </si>
  <si>
    <t>258300.12.01</t>
  </si>
  <si>
    <t>Чертеж архитект.сооруж.в ортогон.проекц: Уч.пос./И.А.Максимова-КУРС,НИЦ ИНФРА-М,2023-112с-(Бакал)(О)</t>
  </si>
  <si>
    <t>ЧЕРТЕЖ АРХИТЕКТУРНОГО СООРУЖЕНИЯ В ОРТОГОНАЛЬНЫХ ПРОЕКЦИЯХ</t>
  </si>
  <si>
    <t>Максимова И. А., Лисенкова Ю. В.</t>
  </si>
  <si>
    <t>978-5-905554-50-6</t>
  </si>
  <si>
    <t>07.02.01, 07.03.01, 07.03.02, 07.03.03, 07.03.04, 08.03.01</t>
  </si>
  <si>
    <t>Допущено УМО по образованию в области архитектуры в качестве учебного пособия для студентов вузов, обучающихся по направлению «Архитектура»</t>
  </si>
  <si>
    <t>454700.08.01</t>
  </si>
  <si>
    <t>Черчение для слушателей подготовительных курсов: Уч.пос. / Н.А.Сальков - М.:НИЦ ИНФРА-М,2024 - 128с.(О)</t>
  </si>
  <si>
    <t>ЧЕРЧЕНИЕ ДЛЯ СЛУШАТЕЛЕЙ ПОДГОТОВИТЕЛЬНЫХ КУРСОВ</t>
  </si>
  <si>
    <t>Сальков Н.А.</t>
  </si>
  <si>
    <t>978-5-16-011473-6</t>
  </si>
  <si>
    <t>07.02.01, 07.03.01, 07.03.02, 07.03.03, 35.03.06, 35.03.10</t>
  </si>
  <si>
    <t>Московский государственный академический художественный институт им. В.И. Сурикова при Российской академии художеств</t>
  </si>
  <si>
    <t>672661.04.01</t>
  </si>
  <si>
    <t>Эволюция государства: истор. динамика...: Моногр. / В.Я.Любашиц-М.:ИЦ РИОР,НИЦ ИНФРА-М,2023-533с(П)</t>
  </si>
  <si>
    <t>ЭВОЛЮЦИЯ ГОСУДАРСТВА: ИСТОРИЧЕСКАЯ ДИНАМИКА И ТЕОРЕТИЧЕСКАЯ МОДЕЛЬ</t>
  </si>
  <si>
    <t>Любашиц В.Я., Разуваев Н.В.</t>
  </si>
  <si>
    <t>978-5-369-01744-9</t>
  </si>
  <si>
    <t>661732.03.01</t>
  </si>
  <si>
    <t>Эволюция культуры: Монография / С.В.Борзых - М.:НИЦ ИНФРА-М,2024.-142 с.(Науч.мысль)(О)</t>
  </si>
  <si>
    <t>ЭВОЛЮЦИЯ КУЛЬТУРЫ</t>
  </si>
  <si>
    <t>978-5-16-013860-2</t>
  </si>
  <si>
    <t>40.03.01, 44.03.01, 44.03.05, 47.03.01, 51.03.01, 51.03.04, 51.04.01</t>
  </si>
  <si>
    <t>725296.01.01</t>
  </si>
  <si>
    <t>Экзистенциалы Шекспира: Монография / П.А.Горохов - М.:НИЦ ИНФРА-М,2021 - 218 с.(Науч.мысль)(О)</t>
  </si>
  <si>
    <t>ЭКЗИСТЕНЦИАЛЫ ШЕКСПИРА</t>
  </si>
  <si>
    <t>978-5-16-015883-9</t>
  </si>
  <si>
    <t>406750.06.01</t>
  </si>
  <si>
    <t>Экология и бизнес = Green Business: Уч. пос./З.В.Маньковская - М.: Инфра-М, 2023-144с.(ВО: Бакалавр.) (о)</t>
  </si>
  <si>
    <t>ЭКОЛОГИЯ И БИЗНЕС = GREEN BUSINESS</t>
  </si>
  <si>
    <t>978-5-16-006496-3</t>
  </si>
  <si>
    <t>05.03.06, 38.03.01, 38.03.02, 38.03.03, 38.03.04, 38.03.05, 38.03.06, 38.03.07, 45.03.02, 45.05.01</t>
  </si>
  <si>
    <t>777493.03.01</t>
  </si>
  <si>
    <t>Экология экранных искусств: Монография / А.И.Чупринский-М.:НИЦ ИНФРА-М,2024.-182 с..-(Науч.мысль)(о)</t>
  </si>
  <si>
    <t>ЭКОЛОГИЯ ЭКРАННЫХ ИСКУССТВ</t>
  </si>
  <si>
    <t>Чупринский А.И.</t>
  </si>
  <si>
    <t>978-5-16-017731-1</t>
  </si>
  <si>
    <t>42.03.04, 42.03.05, 42.04.04, 42.04.05, 42.06.01, 50.04.04, 55.05.05</t>
  </si>
  <si>
    <t>Белорусская государственная академия искусств</t>
  </si>
  <si>
    <t>451100.04.01</t>
  </si>
  <si>
    <t>Экономическая социология: Уч. / М.А.Васьков - М.:ИЦ РИОР,НИЦ ИНФРА-М,2023 - 252с.(ВО:Бакалавр.)(п)</t>
  </si>
  <si>
    <t>ЭКОНОМИЧЕСКАЯ СОЦИОЛОГИЯ</t>
  </si>
  <si>
    <t>ВаськовМ.А., ВоденкоК.В., СамыгинС.И. и др.</t>
  </si>
  <si>
    <t>978-5-369-01478-3</t>
  </si>
  <si>
    <t>38.03.02, 38.03.03, 38.03.04</t>
  </si>
  <si>
    <t>Рекомендовано УМО РАЕ по классическому университетскому и техническому образованию в качестве учебника для социально-экономических направлений подготовки (бакалавриат)</t>
  </si>
  <si>
    <t>090750.15.01</t>
  </si>
  <si>
    <t>Экономические основы работы с молодежью: Уч.пос. / М.П.Переверзев-М.:НИЦ ИНФРА-М,2024.-208 с.(ВО)(П</t>
  </si>
  <si>
    <t>ЭКОНОМИЧЕСКИЕ ОСНОВЫ РАБОТЫ С МОЛОДЕЖЬЮ</t>
  </si>
  <si>
    <t>Переверзев М. П., Калинина З. Н., Переверзев М. П.</t>
  </si>
  <si>
    <t>978-5-16-010918-3</t>
  </si>
  <si>
    <t>Допущено УМО по классическому университетскому образованию РФ в качестве учебного пособия  для студентов высших учебных заведений, обучающихся по специальности 040104 "Организация работы с молодежью"</t>
  </si>
  <si>
    <t>200400.09.01</t>
  </si>
  <si>
    <t>Экономические основы соц. работы: Уч./В.И.Шарин - М.: НИЦ ИНФРА-М, 2024 - 237с.(ВО:Бакалавр.) (п)</t>
  </si>
  <si>
    <t>ЭКОНОМИЧЕСКИЕ ОСНОВЫ СОЦИАЛЬНОЙ РАБОТЫ</t>
  </si>
  <si>
    <t>Шарин В. И.</t>
  </si>
  <si>
    <t>978-5-16-006435-2</t>
  </si>
  <si>
    <t>Рекомендовано УМО Российской Академии естествознания по классическому университетскому и техническому образованию в качестве учебника для студентов высших учебных заведений, обучающихся по специальности 13.00.08 «Теория и методика профессионального о</t>
  </si>
  <si>
    <t>650253.02.01</t>
  </si>
  <si>
    <t>Экосемантика геополитич. пространства: Моногр. / Л.О.Терновая-М:НИЦ ИНФРА-М,2020-312с(Науч.мысль)(П)</t>
  </si>
  <si>
    <t>ЭКОСЕМАНТИКА ГЕОПОЛИТИЧЕСКОГО ПРОСТРАНСТВА</t>
  </si>
  <si>
    <t>978-5-16-012550-3</t>
  </si>
  <si>
    <t>05.03.06, 05.06.01, 41.04.04, 41.06.01, 46.06.01, 51.04.01, 51.06.01</t>
  </si>
  <si>
    <t>270200.09.01</t>
  </si>
  <si>
    <t>Экспериментальная психология: практикум: Уч. пос. / Н.И. Чернецкая. - М.: ИНФРА-М, 2024 - 120 с.(ВО)(о)</t>
  </si>
  <si>
    <t>ЭКСПЕРИМЕНТАЛЬНАЯ ПСИХОЛОГИЯ: ПРАКТИКУМ</t>
  </si>
  <si>
    <t>Чернецкая Н.И.</t>
  </si>
  <si>
    <t>978-5-16-019454-7</t>
  </si>
  <si>
    <t>Рекомендуется в качестве учебного пособия для студентов высших учебных заведений, обучающихся по направлению 37.03.01 (030300) "Психология»</t>
  </si>
  <si>
    <t>436250.08.01</t>
  </si>
  <si>
    <t>Экспертиза и атрибуция изд. декор.-прикл..: Уч.пос. / А.Ф.Миронова-2 изд-М.:Форум,НИЦ ИНФРА-М,2024-96с.(О)</t>
  </si>
  <si>
    <t>ЭКСПЕРТИЗА И АТРИБУЦИЯ ИЗДЕЛИЙ ДЕКОРАТИВНО-ПРИКЛАДНОГО ИСКУССТВА, ИЗД.2</t>
  </si>
  <si>
    <t>Миронова А.Ф.</t>
  </si>
  <si>
    <t>978-5-00091-634-6</t>
  </si>
  <si>
    <t>54.02.02, 54.03.02, 54.04.02</t>
  </si>
  <si>
    <t>Рекомендовано Учебно-методическим советом ВО в качестве учебного пособия для студентов высших учебных заведений, обучающихся по укрупненной группе специальностей 54.03.00 «Изобразительное и прикладные виды искусств»</t>
  </si>
  <si>
    <t>Институт искусства реставрации</t>
  </si>
  <si>
    <t>694930.04.01</t>
  </si>
  <si>
    <t>Экспертиза и атрибуция изделий декор.-прикл. иск.: Уч.пос. / А.Ф.Миронова - 2 изд.-М.:Форум,НИЦ ИНФРА-М,2024-96с(СПО)</t>
  </si>
  <si>
    <t>978-5-00091-640-7</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</si>
  <si>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укрупненной группе специальностей 54.02.00 «Изобразительное и прикладные виды искусств»</t>
  </si>
  <si>
    <t>653184.08.01</t>
  </si>
  <si>
    <t>Электронная б-ка в контексте электр. инф-обр.среды..: Моногр./ М.В.Носков-М.:НИЦ ИНФРА-М,2024-106с(О)</t>
  </si>
  <si>
    <t>ЭЛЕКТРОННАЯ БИБЛИОТЕКА В КОНТЕКСТЕ ЭЛЕКТРОННОЙ ИНФОРМАЦИОННО-ОБРАЗОВАТЕЛЬНОЙ СРЕДЫ ВУЗА</t>
  </si>
  <si>
    <t>Носков М.В., Барышев Р.А., Манушкина М.М.</t>
  </si>
  <si>
    <t>978-5-16-012679-1</t>
  </si>
  <si>
    <t>094770.15.01</t>
  </si>
  <si>
    <t>Электронное библиографическое пособие: Практ. рук. / Е.В.Панкова - 2 изд.- М.:НИЦ ИНФРА-М,2024-127с(О)</t>
  </si>
  <si>
    <t>ЭЛЕКТРОННОЕ БИБЛИОГРАФИЧЕСКОЕ ПОСОБИЕ: ПРАКТИЧЕСКОЕ РУКОВОДСТВО ДЛЯ БИБЛИОТЕЧНЫХ РАБОТНИКОВ, ИЗД.2</t>
  </si>
  <si>
    <t>Панкова Е.В., Беркутова Л.С.</t>
  </si>
  <si>
    <t>978-5-16-015528-9</t>
  </si>
  <si>
    <t>Профессиональное обучение</t>
  </si>
  <si>
    <t>42.03.03, 51.03.06</t>
  </si>
  <si>
    <t>Санкт-Петербургский техникум библиотечных и информационных технологий</t>
  </si>
  <si>
    <t>094770.08.01</t>
  </si>
  <si>
    <t>Электронное библиографическое пособие: Практ. рук. / Е.В.Панкова - М.:Форум,НИЦ ИНФРА-М,2019-128с(О)</t>
  </si>
  <si>
    <t>ЭЛЕКТРОННОЕ БИБЛИОГРАФИЧЕСКОЕ ПОСОБИЕ</t>
  </si>
  <si>
    <t>978-5-91134-223-4</t>
  </si>
  <si>
    <t>788939.03.01</t>
  </si>
  <si>
    <t>Электронное голосование: рос.и зарубеж. опыт: Моногр. / В.И.Федоров-М.:НИЦ ИНФРА-М,2023.-237 с.(п)</t>
  </si>
  <si>
    <t>ЭЛЕКТРОННОЕ ГОЛОСОВАНИЕ: РОССИЙСКИЙ И ЗАРУБЕЖНЫЙ ОПЫТ</t>
  </si>
  <si>
    <t>Федоров В.И.</t>
  </si>
  <si>
    <t>978-5-16-018036-6</t>
  </si>
  <si>
    <t>38.05.01, 39.04.01, 40.04.01, 40.05.01, 40.05.02, 40.05.03, 40.05.04, 41.04.04</t>
  </si>
  <si>
    <t>686297.06.01</t>
  </si>
  <si>
    <t>Элитные группы Центральной Азии...: Моногр. / Д.Д.Осинина - М.:НИЦ ИНФРА-М,2023 - 147 с.(О)</t>
  </si>
  <si>
    <t>ЭЛИТНЫЕ ГРУППЫ ЦЕНТРАЛЬНОЙ АЗИИ В БОЛЬШОЙ ГЕОПОЛИТИЧЕСКОЙ «ИГРЕ» РОССИИ, КНР И США В НАЧАЛЕ XXI  ВЕКА</t>
  </si>
  <si>
    <t>978-5-16-016410-6</t>
  </si>
  <si>
    <t>41.03.04, 41.03.05, 41.04.04, 41.04.05</t>
  </si>
  <si>
    <t>695043.03.01</t>
  </si>
  <si>
    <t>Элитология мифа: Монография / П.Л.Карабущенко - М.:НИЦ ИНФРА-М,2023 - 320 с.-(Науч.мысль)(о)</t>
  </si>
  <si>
    <t>ЭЛИТОЛОГИЯ МИФА</t>
  </si>
  <si>
    <t>978-5-16-018133-2</t>
  </si>
  <si>
    <t>00.03.07, 00.03.11, 41.06.01, 47.06.01</t>
  </si>
  <si>
    <t>695041.02.01</t>
  </si>
  <si>
    <t>Элитология Платона (античные аспекты...): Моногр. / П.Л.Карабущенко - 2 изд.-М.:НИЦ ИНФРА-М,2023-348с(П)</t>
  </si>
  <si>
    <t>ЭЛИТОЛОГИЯ ПЛАТОНА (АНТИЧНЫЕ АСПЕКТЫ ФИЛОСОФИИ ИЗБРАННОСТИ), ИЗД.2</t>
  </si>
  <si>
    <t>978-5-16-014636-2</t>
  </si>
  <si>
    <t>324700.03.01</t>
  </si>
  <si>
    <t>Эргоурбонимия города Иркутска..: Моногр. / Ю.В.Вайрах - М.:НИЦ ИНФРА-М, 2019-96с.(Научная мысль)(о)</t>
  </si>
  <si>
    <t>ЭРГОУРБОНИМИЯ ГОРОДА ИРКУТСКА: СТРУКТУРНО-СЕМАНТИЧЕСКИЙ И ЛИНГВОКУЛЬТУРОЛОГИЧЕСКИЙ АСПЕКТЫ ИССЛЕДОВАНИЯ</t>
  </si>
  <si>
    <t>Вайрах Ю.В.</t>
  </si>
  <si>
    <t>978-5-16-010515-4</t>
  </si>
  <si>
    <t>45.03.01, 45.03.03, 45.04.01</t>
  </si>
  <si>
    <t>639301.06.01</t>
  </si>
  <si>
    <t>Эрнест Хемингуэй: легенда и реальность: Моногр./Б.А.Гиленсон-М.:НИЦ ИНФРА-М,2024-206с(Науч.мысль)(П)</t>
  </si>
  <si>
    <t>ЭРНЕСТ ХЕМИНГУЭЙ: ЛЕГЕНДА И РЕАЛЬНОСТЬ</t>
  </si>
  <si>
    <t>978-5-16-012268-7</t>
  </si>
  <si>
    <t>41.03.06, 42.03.02, 42.03.03, 42.03.04</t>
  </si>
  <si>
    <t>125100.07.01</t>
  </si>
  <si>
    <t>Эротико-сексуальное образование и семья: уч. / В.А.Бароненко-М.:Альфа-М, НИЦ ИНФРА-М,2018.-208 с..-(Бакалавриат)(п)</t>
  </si>
  <si>
    <t>ЭРОТИКО-СЕКСУАЛЬНОЕ ОБРАЗОВАНИЕ И СЕМЬЯ</t>
  </si>
  <si>
    <t>Бароненко В. А.</t>
  </si>
  <si>
    <t>978-5-98281-199-8</t>
  </si>
  <si>
    <t>44.03.04, 44.03.05, 44.04.04</t>
  </si>
  <si>
    <t>Рекомендовано Федеральным государственным учреждением "Федеральный институт развития образования" в качестве учебника для использования в учебном процессе образовательных учреждениях, реализующих программы высшего профессионального образования</t>
  </si>
  <si>
    <t>801917.02.01</t>
  </si>
  <si>
    <t>Эстетика трансцендент.(непостижим.) в рус.дух.культ. конца XIX... / В.Д.Диденко-М.:НИЦ ИНФРА-М,2023.-152 с.(о)</t>
  </si>
  <si>
    <t>ЭСТЕТИКА ТРАНСЦЕНДЕНТНОГО (НЕПОСТИЖИМОГО) В РУССКОЙ ДУХОВНОЙ КУЛЬТУРЕ КОНЦА XIX- ПЕРВОЙ ПОЛОВИНЫ XX ВЕКА</t>
  </si>
  <si>
    <t>Диденко В.Д.</t>
  </si>
  <si>
    <t>978-5-16-018703-7</t>
  </si>
  <si>
    <t>50.04.01, 50.06.01, 51.04.01, 51.06.01</t>
  </si>
  <si>
    <t>699335.02.01</t>
  </si>
  <si>
    <t>Эстетические парадоксы русской драмы: Уч.пос. / Т.С.Злотникова-М.:НИЦ ИНФРА-М,2024.-289 с.(ВО)(П)</t>
  </si>
  <si>
    <t>ЭСТЕТИЧЕСКИЕ ПАРАДОКСЫ РУССКОЙ ДРАМЫ</t>
  </si>
  <si>
    <t>978-5-16-018797-6</t>
  </si>
  <si>
    <t>44.03.01</t>
  </si>
  <si>
    <t>Рекомендовано Учебно-методическим советом ВО в качестве учебного пособия для студентов высших учебных заведений, обучающихся по направлениям подготовки  44.03.01 «Педагогическое образование», 51.03.01 «Культурология», 52.03.05 «Театроведение», 52.03.06 «Драматургия» (квалификация (степень) «бакалавр»)</t>
  </si>
  <si>
    <t>072730.12.01</t>
  </si>
  <si>
    <t>Этика деловых отношений: Уч. / Ю.Ю.Петрунин и др., - 2 изд.-М.:НИЦ ИНФРА-М,2024.-161 с.(СПО)(п)</t>
  </si>
  <si>
    <t>ЭТИКА ДЕЛОВЫХ ОТНОШЕНИЙ, ИЗД.2</t>
  </si>
  <si>
    <t>Петрунин Ю.Ю., Борисов В.К., Панина Е.М. и др.</t>
  </si>
  <si>
    <t>978-5-16-017800-4</t>
  </si>
  <si>
    <t>00.02.33, 31.02.01</t>
  </si>
  <si>
    <t>072920.11.01</t>
  </si>
  <si>
    <t>Этика и психология делового общ.: Уч.пос. / Е.А.Земедлина - 2 изд. - РИОР,ИНФРА-М,2023 - 112 c(ВО:Бакалавр.) (О)</t>
  </si>
  <si>
    <t>ЭТИКА И ПСИХОЛОГИЯ ДЕЛОВОГО ОБЩЕНИЯ, ИЗД.2</t>
  </si>
  <si>
    <t>978-5-369-00368-8</t>
  </si>
  <si>
    <t>38.03.02, 38.03.03, 42.03.01, 42.03.02, 43.03.01, 43.03.02, 43.03.03, 44.03.01, 44.03.02, 44.03.03, 44.03.04, 44.03.05</t>
  </si>
  <si>
    <t>669446.03.01</t>
  </si>
  <si>
    <t>Этика ответственности: Уч.пос. / В.А.Канке - 2 изд. - М.:НИЦ ИНФРА-М,2024 - 291 с.(ВО: Бакалавр.)(П)</t>
  </si>
  <si>
    <t>ЭТИКА ОТВЕТСТВЕННОСТИ, ИЗД.2</t>
  </si>
  <si>
    <t>978-5-16-013392-8</t>
  </si>
  <si>
    <t>47.03.01, 47.03.02, 47.03.03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</si>
  <si>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и направлений 47.03.00 «Философия, этика и религиоведение» (квалификация (степень) «бакалавр») (протокол № 17 от 11.11.2019)</t>
  </si>
  <si>
    <t>724894.02.01</t>
  </si>
  <si>
    <t>Этика чел. достоинства: история и современ.: Моногр. / Ю.П.Воропаева - М.:НИЦ ИНФРА-М,2022 - 243 с.(Науч.мысль)(О)</t>
  </si>
  <si>
    <t>ЭТИКА ЧЕЛОВЕЧЕСКОГО ДОСТОИНСТВА: ИСТОРИЯ И СОВРЕМЕННОСТЬ</t>
  </si>
  <si>
    <t>Воропаева Ю.П., Коломиец Г.Г.</t>
  </si>
  <si>
    <t>978-5-16-015885-3</t>
  </si>
  <si>
    <t>044104.11.01</t>
  </si>
  <si>
    <t>Этика: Уч. / А.В.Разин, - 4 изд.-М.:НИЦ ИНФРА-М,2024.-415 с.(ВО)(п)</t>
  </si>
  <si>
    <t>ЭТИКА, ИЗД.4</t>
  </si>
  <si>
    <t>Разин А.В.</t>
  </si>
  <si>
    <t>978-5-16-019351-9</t>
  </si>
  <si>
    <t>44.03.05, 47.03.01, 47.03.02, 47.03.03</t>
  </si>
  <si>
    <t>Рекомендовано Отделением по философии, политологии и религиоведению УМО по классическому университетскому образованию в качестве учебного пособия для студентов философских специальностей</t>
  </si>
  <si>
    <t>0412</t>
  </si>
  <si>
    <t>450350.06.01</t>
  </si>
  <si>
    <t>Этика: Уч. пос. / П.А. Егоров, В.Н. Руднев - М.:НИЦ ИНФРА-М, 2023 - 158 с. (ВО: Бакалавриат) (п)</t>
  </si>
  <si>
    <t>ЭТИКА</t>
  </si>
  <si>
    <t>Егоров П. А., Руднев В. Н.</t>
  </si>
  <si>
    <t>978-5-16-009132-7</t>
  </si>
  <si>
    <t>07.03.03, 21.05.04, 37.05.01, 44.03.05, 47.03.01, 47.04.01, 47.04.02, 51.03.01, 51.03.04</t>
  </si>
  <si>
    <t>634882.04.01</t>
  </si>
  <si>
    <t>Этика: Уч.пос. / А.М.Руденко -М.:ИЦ РИОР, НИЦ ИНФРА-М,2024.-228 с.(ВО)(п)</t>
  </si>
  <si>
    <t>Руденко А.М., Котлярова В.В., Шубина М.М. и др.</t>
  </si>
  <si>
    <t>978-5-369-01642-8</t>
  </si>
  <si>
    <t>07.03.03, 37.03.01, 40.03.01, 44.03.05, 47.03.01, 47.03.02, 47.04.02, 51.03.01, 51.03.04</t>
  </si>
  <si>
    <t>Рекомендовано в качестве учебного пособия для студентов высших учебных заведений, обучающихся по гуманитарным направлениям подготовки</t>
  </si>
  <si>
    <t>736062.01.01</t>
  </si>
  <si>
    <t>Этика: Уч.пос. / П.А.Егоров - М.:НИЦ ИНФРА-М,2020 - 158 с.-(СПО)(П)</t>
  </si>
  <si>
    <t>Егоров П.А., Руднев В.Н.</t>
  </si>
  <si>
    <t>978-5-16-016206-5</t>
  </si>
  <si>
    <t>21.02.19, 38.02.02, 38.02.07, 38.02.08, 39.02.01, 40.02.02, 40.02.04, 43.02.06, 43.02.09, 43.02.11, 43.02.16, 44.02.01, 44.02.02, 44.02.03, 44.02.04, 44.02.06</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</si>
  <si>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гуманитарным специальностям (протокол № 19 от 09.12.2019)</t>
  </si>
  <si>
    <t>651621.10.01</t>
  </si>
  <si>
    <t>Этническая психология: Уч. / Под ред. Ермакова П.Н. - М.:НИЦ ИНФРА-М,2024-317 с.-(ВО)(п)</t>
  </si>
  <si>
    <t>ЭТНИЧЕСКАЯ ПСИХОЛОГИЯ</t>
  </si>
  <si>
    <t>Ермаков П.Н., Пищик В.И.</t>
  </si>
  <si>
    <t>978-5-16-019448-6</t>
  </si>
  <si>
    <t>Допущено Советом по психологии УМО по классическому университетскому образованию в качестве практико-ориентированного учебника для преподавателей вузов, для студентов (бакалавров, специалистов и магистров) высших учебных заведений, обучающихся по направлениям подготовки ВО 37.03.01 «Психология» (квалификация (степень) «бакалавр»), 37.04.01 «Психология» (квалификация (степень) «магистр»), 37.03.02 «Конфликтология» (квалификация (степень) «бакалавр»)</t>
  </si>
  <si>
    <t>699499.02.01</t>
  </si>
  <si>
    <t>Этнический образ мира: "свои" и "другие": Уч.пос. / В.Ю.Хотинец - М.:НИЦ ИНФРА-М,2022-207 с.(ВО: Бак.)(П)</t>
  </si>
  <si>
    <t>ЭТНИЧЕСКИЙ ОБРАЗ МИРА: "СВОИ" И "ДРУГИЕ"</t>
  </si>
  <si>
    <t>Хотинец В.Ю., Молчанова Е.А.</t>
  </si>
  <si>
    <t>978-5-16-016736-7</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</si>
  <si>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37.03.01 «Психология» (квалификация (степень) «бакалавр») (протокол № 10 от 15.12.2021)</t>
  </si>
  <si>
    <t>768791.02.01</t>
  </si>
  <si>
    <t>Этнический фактор в становл. и развитии федератив. гос.: Моногр. / А.Ю.Саломатин-М.:ИЦ РИОР, НИЦ ИНФРА-М,2023.-191 с.(П)</t>
  </si>
  <si>
    <t>ЭТНИЧЕСКИЙ ФАКТОР В СТАНОВЛЕНИИ И РАЗВИТИИ ФЕДЕРАТИВНЫХ ОТНОШЕНИЙ</t>
  </si>
  <si>
    <t>Саломатин А.Ю.</t>
  </si>
  <si>
    <t>978-5-369-01887-3</t>
  </si>
  <si>
    <t>40.04.01, 40.05.01, 40.05.02, 40.06.01</t>
  </si>
  <si>
    <t>663732.06.01</t>
  </si>
  <si>
    <t>Этногерменевтика русской сказки: Моногр. / М.В.Пименова-М.:НИЦ ИНФРА-М,2024.-355 с.(Науч.мысль)(П)</t>
  </si>
  <si>
    <t>ЭТНОГЕРМЕНЕВТИКА РУССКОЙ СКАЗКИ</t>
  </si>
  <si>
    <t>Пименова М.В.</t>
  </si>
  <si>
    <t>978-5-16-013459-8</t>
  </si>
  <si>
    <t>Военная академия материально-технического обеспечения им. Генерала армии А.В. Хрулёва</t>
  </si>
  <si>
    <t>697533.07.01</t>
  </si>
  <si>
    <t>Этнология: Уч.пос. / А.П.Садохин - 4 изд. - М.:ИЦ РИОР, НИЦ ИНФРА-М,2022-331 с.-(ВО: Бакалавриат)(П)</t>
  </si>
  <si>
    <t>ЭТНОЛОГИЯ, ИЗД.4</t>
  </si>
  <si>
    <t>Садохин А.П., Грушевицкая Т.Г.</t>
  </si>
  <si>
    <t>978-5-369-01800-2</t>
  </si>
  <si>
    <t>44.03.01, 44.03.05, 46.03.01, 51.03.02, 51.03.04, 51.03.05</t>
  </si>
  <si>
    <t>799968.02.01</t>
  </si>
  <si>
    <t>Эффективность науч. деят.: критерии прав. оценки / Н.В.Путило-М.:Юр. НОРМА, НИЦ ИНФРА-М,2023.-204 с.(п)</t>
  </si>
  <si>
    <t>ЭФФЕКТИВНОСТЬ НАУЧНОЙ ДЕЯТЕЛЬНОСТИ: КРИТЕРИИ ПРАВОВОЙ ОЦЕНКИ</t>
  </si>
  <si>
    <t>Путило Н.В.</t>
  </si>
  <si>
    <t>978-5-00156-290-0</t>
  </si>
  <si>
    <t>40.04.01, 40.06.01</t>
  </si>
  <si>
    <t>667743.04.01</t>
  </si>
  <si>
    <t>Ю.В. Бондарев: творческая эволюция писателя: Моногр. / Л.С.Шкурат - 2 изд. - М.:НИЦ ИНФРА-М,2022-252 с.(Науч.мысль)(П)</t>
  </si>
  <si>
    <t>Ю.В. БОНДАРЕВ: ТВОРЧЕСКАЯ ЭВОЛЮЦИЯ ПИСАТЕЛЯ, ИЗД.2</t>
  </si>
  <si>
    <t>Шкурат Л.С.</t>
  </si>
  <si>
    <t>978-5-16-013289-1</t>
  </si>
  <si>
    <t>767829.01.01</t>
  </si>
  <si>
    <t>Южнофранцузская готика: Моногр. / И.И.Орлов-М.:НИЦ ИНФРА-М,2023.-426 с.(Науч.мысль)(П)</t>
  </si>
  <si>
    <t>ЮЖНОФРАНЦУЗСКАЯ ГОТИКА</t>
  </si>
  <si>
    <t>978-5-16-017331-3</t>
  </si>
  <si>
    <t>07.04.01, 07.06.01</t>
  </si>
  <si>
    <t>634734.10.01</t>
  </si>
  <si>
    <t>Язык деловых межкультурных коммун.: Уч. / Под ред. Черкашиной Т.Т. -М.:НИЦ ИНФРА-М,2024-368с.(ВО)(п)</t>
  </si>
  <si>
    <t>ЯЗЫК ДЕЛОВЫХ МЕЖКУЛЬТУРНЫХ КОММУНИКАЦИЙ</t>
  </si>
  <si>
    <t>Черкашина Т.Т.</t>
  </si>
  <si>
    <t>978-5-16-019207-9</t>
  </si>
  <si>
    <t>37.03.01, 38.03.01, 38.03.02, 38.03.03, 38.04.01, 38.04.02, 38.04.03, 41.03.04, 41.03.06, 41.04.04, 42.03.01, 42.03.02, 42.04.01, 42.04.02, 44.03.05, 45.03.01, 45.05.01, 51.03.01, 51.03.02</t>
  </si>
  <si>
    <t>Рекомендовано в качестве учебника для студентов высших учебных заведений, обучающихся по направлениям подготовки 38.03.01 «Экономика», 38.03.02 «Менеджмент», 38.03.03 «Управление персоналом», 42.03.01 «Реклама и связи с общественностью»  (квалификация (степень) «бакалавр»)</t>
  </si>
  <si>
    <t>766164.02.01</t>
  </si>
  <si>
    <t>Язык настроения: Моногр. / В.К.Харченко - М.:НИЦ ИНФРА-М,2024 - 231 с.(Науч.мысль)(О)</t>
  </si>
  <si>
    <t>ЯЗЫК НАСТРОЕНИЯ</t>
  </si>
  <si>
    <t>978-5-16-017224-8</t>
  </si>
  <si>
    <t>45.03.99, 45.04.01, 45.04.02, 45.04.03, 45.06.01, 51.03.02, 51.06.01, 52.05.04</t>
  </si>
  <si>
    <t>794806.01.01</t>
  </si>
  <si>
    <t>Язык рук. социальной группы или «Танцы под дождем».: Моногр. / В.К.Харченко-М.:НИЦ ИНФРА-М,2023.-157 с.(о)</t>
  </si>
  <si>
    <t>ЯЗЫК РУКОВОДИТЕЛЯ СОЦИАЛЬНОЙ ГРУППЫ, ИЛИ «ТАНЦЫ ПОД ДОЖДЕМ».</t>
  </si>
  <si>
    <t>978-5-16-018106-6</t>
  </si>
  <si>
    <t>37.04.01, 37.04.02, 37.05.02, 39.04.01, 39.04.03, 39.06.01, 42.04.02, 42.06.01, 45.04.01, 45.06.01</t>
  </si>
  <si>
    <t>728274.04.01</t>
  </si>
  <si>
    <t>Язык. Речевая деят. Дискурс: Моногр. / В.М.Бурунский.-М.:НИЦ ИНФРА-М,2021.-164 с.(Науч.мысль)(О)</t>
  </si>
  <si>
    <t>ЯЗЫК. РЕЧЕВАЯ ДЕЯТЕЛЬНОСТЬ. ДИСКУРС</t>
  </si>
  <si>
    <t>Бурунский В.М., Гвоздев В.В., Девицкая З.Б. и др.</t>
  </si>
  <si>
    <t>978-5-16-015933-1</t>
  </si>
  <si>
    <t>788692.01.01</t>
  </si>
  <si>
    <t>Язык: жизнь смыслов vs  смысл жизни: Моногр. / Е.В.Белоглазова-М.:НИЦ ИНФРА-М,2023.-292 с.(Науч.мысль)(п)</t>
  </si>
  <si>
    <t>ЯЗЫК: ЖИЗНЬ СМЫСЛОВ VS  СМЫСЛ ЖИЗНИ</t>
  </si>
  <si>
    <t>Белоглазова Е.В., Бобырева Е.В., Боженкова Н.А. и др.</t>
  </si>
  <si>
    <t>978-5-16-018258-2</t>
  </si>
  <si>
    <t>39.04.01, 39.06.01, 45.04.01, 45.04.02, 51.04.01, 51.06.01</t>
  </si>
  <si>
    <t>260200.11.01</t>
  </si>
  <si>
    <t>Языковая вариативность англ. яз. Великобритании, США...: Моногр./ Ж.Багана -М.:НИЦ ИНФРА-М,2023-124 с.(Науч.мысль)(о)</t>
  </si>
  <si>
    <t>ЯЗЫКОВАЯ ВАРИАТИВНОСТЬ АНГЛИЙСКОГО ЯЗЫКА ВЕЛИКОБРИТАНИИ, США И КАНАДЫ</t>
  </si>
  <si>
    <t>Багана Ж., Безрукая А. Н., Таранова Е. Н.</t>
  </si>
  <si>
    <t>978-5-16-009502-8</t>
  </si>
  <si>
    <t>00.00.00</t>
  </si>
  <si>
    <t>ОБЩИЕ ДИСЦИПЛИНЫ ДЛЯ ВСЕХ СПЕЦИАЛЬНОСТЕЙ</t>
  </si>
  <si>
    <t>00.01.02</t>
  </si>
  <si>
    <t>Иностранный язык</t>
  </si>
  <si>
    <t>00.01.03</t>
  </si>
  <si>
    <t>История</t>
  </si>
  <si>
    <t>00.01.04</t>
  </si>
  <si>
    <t>Психология общения</t>
  </si>
  <si>
    <t>00.02.04</t>
  </si>
  <si>
    <t>Русский язык и литература</t>
  </si>
  <si>
    <t>Основы философии</t>
  </si>
  <si>
    <t>Основы исследовательской деятельности</t>
  </si>
  <si>
    <t>Обществознание</t>
  </si>
  <si>
    <t>00.02.33</t>
  </si>
  <si>
    <t>Профессиональная этика и служебный этикет</t>
  </si>
  <si>
    <t>Русский язык и культура речи</t>
  </si>
  <si>
    <t>00.02.38</t>
  </si>
  <si>
    <t>Экономика организации</t>
  </si>
  <si>
    <t>00.03.04</t>
  </si>
  <si>
    <t>00.03.05</t>
  </si>
  <si>
    <t>Культурология</t>
  </si>
  <si>
    <t>00.03.07</t>
  </si>
  <si>
    <t>Политология</t>
  </si>
  <si>
    <t>00.03.10</t>
  </si>
  <si>
    <t>Социология</t>
  </si>
  <si>
    <t>Экономика</t>
  </si>
  <si>
    <t>00.03.14</t>
  </si>
  <si>
    <t>Физическая культура</t>
  </si>
  <si>
    <t>00.03.15</t>
  </si>
  <si>
    <t>Психология и педагогика</t>
  </si>
  <si>
    <t>00.03.16</t>
  </si>
  <si>
    <t>Основы научных исследований</t>
  </si>
  <si>
    <t>00.03.42</t>
  </si>
  <si>
    <t>Основы российской государственности</t>
  </si>
  <si>
    <t>00.04.16</t>
  </si>
  <si>
    <t>00.04.17</t>
  </si>
  <si>
    <t>Философские проблемы науки и техники</t>
  </si>
  <si>
    <t>00.05.02</t>
  </si>
  <si>
    <t>00.05.05</t>
  </si>
  <si>
    <t>00.05.07</t>
  </si>
  <si>
    <t>00.05.09</t>
  </si>
  <si>
    <t>00.05.10</t>
  </si>
  <si>
    <t>00.05.11</t>
  </si>
  <si>
    <t>00.05.15</t>
  </si>
  <si>
    <t>00.05.16</t>
  </si>
  <si>
    <t>00.05.18</t>
  </si>
  <si>
    <t>00.06.01</t>
  </si>
  <si>
    <t>Методология научных исследований</t>
  </si>
  <si>
    <t>01.00.00</t>
  </si>
  <si>
    <t>МАТЕМАТИКА И МЕХАНИКА</t>
  </si>
  <si>
    <t>01.03.01</t>
  </si>
  <si>
    <t>Математика</t>
  </si>
  <si>
    <t>01.03.02</t>
  </si>
  <si>
    <t>Прикладная математика и информатика</t>
  </si>
  <si>
    <t>01.04.01</t>
  </si>
  <si>
    <t>01.04.02</t>
  </si>
  <si>
    <t>01.04.03</t>
  </si>
  <si>
    <t>Механика и математическое моделирование</t>
  </si>
  <si>
    <t>01.05.01</t>
  </si>
  <si>
    <t>Фундаментальные математика и механика</t>
  </si>
  <si>
    <t>01.06.01</t>
  </si>
  <si>
    <t>Математика и механика</t>
  </si>
  <si>
    <t>02.00.00</t>
  </si>
  <si>
    <t>КОМПЬЮТЕРНЫЕ И ИНФОРМАЦИОННЫЕ НАУКИ</t>
  </si>
  <si>
    <t>02.03.01</t>
  </si>
  <si>
    <t>Математика и компьютерные науки</t>
  </si>
  <si>
    <t>02.03.02</t>
  </si>
  <si>
    <t>Фундаментальная информатика и информационные технологии</t>
  </si>
  <si>
    <t>02.03.03</t>
  </si>
  <si>
    <t>02.04.01</t>
  </si>
  <si>
    <t>02.04.02</t>
  </si>
  <si>
    <t>02.06.01</t>
  </si>
  <si>
    <t>Компьютерные и информационные науки</t>
  </si>
  <si>
    <t>02.07.01</t>
  </si>
  <si>
    <t>03.00.00</t>
  </si>
  <si>
    <t>ФИЗИКА И АСТРОНОМИЯ</t>
  </si>
  <si>
    <t>03.03.02</t>
  </si>
  <si>
    <t>03.04.02</t>
  </si>
  <si>
    <t>Физика</t>
  </si>
  <si>
    <t>03.04.03</t>
  </si>
  <si>
    <t>Радиофизика</t>
  </si>
  <si>
    <t>03.06.01</t>
  </si>
  <si>
    <t>Физика и астрономия</t>
  </si>
  <si>
    <t>04.00.00</t>
  </si>
  <si>
    <t>ХИМИЯ</t>
  </si>
  <si>
    <t>04.03.02</t>
  </si>
  <si>
    <t>Химия, физика и механика материалов</t>
  </si>
  <si>
    <t>04.06.01</t>
  </si>
  <si>
    <t>Химические науки</t>
  </si>
  <si>
    <t>04.07.01</t>
  </si>
  <si>
    <t>05.00.00</t>
  </si>
  <si>
    <t>НАУКИ О ЗЕМЛЕ</t>
  </si>
  <si>
    <t>05.02.02</t>
  </si>
  <si>
    <t>Гидрология</t>
  </si>
  <si>
    <t>05.02.03</t>
  </si>
  <si>
    <t>Метеорология</t>
  </si>
  <si>
    <t>05.03.02</t>
  </si>
  <si>
    <t>География</t>
  </si>
  <si>
    <t>05.03.03</t>
  </si>
  <si>
    <t>Картография и геоинформатика</t>
  </si>
  <si>
    <t>05.03.04</t>
  </si>
  <si>
    <t>Гидрометеорология</t>
  </si>
  <si>
    <t>05.03.06</t>
  </si>
  <si>
    <t>Экология и природопользование</t>
  </si>
  <si>
    <t>05.04.02</t>
  </si>
  <si>
    <t>05.04.06</t>
  </si>
  <si>
    <t>05.06.01</t>
  </si>
  <si>
    <t>Науки о земле</t>
  </si>
  <si>
    <t>06.00.00</t>
  </si>
  <si>
    <t>БИОЛОГИЧЕСКИЕ НАУКИ</t>
  </si>
  <si>
    <t>06.03.01</t>
  </si>
  <si>
    <t>Биология</t>
  </si>
  <si>
    <t>06.03.02</t>
  </si>
  <si>
    <t>Почвоведение</t>
  </si>
  <si>
    <t>06.04.01</t>
  </si>
  <si>
    <t>06.06.01</t>
  </si>
  <si>
    <t>Биологические науки</t>
  </si>
  <si>
    <t>06.07.01</t>
  </si>
  <si>
    <t>07.00.00</t>
  </si>
  <si>
    <t>АРХИТЕКТУРА</t>
  </si>
  <si>
    <t>Архитектура</t>
  </si>
  <si>
    <t>07.03.02</t>
  </si>
  <si>
    <t>Реконструкция и реставрация архитектурного наследия</t>
  </si>
  <si>
    <t>07.03.03</t>
  </si>
  <si>
    <t>Дизайн архитектурной среды</t>
  </si>
  <si>
    <t>07.03.04</t>
  </si>
  <si>
    <t>Градостроительство</t>
  </si>
  <si>
    <t>07.04.01</t>
  </si>
  <si>
    <t>07.04.02</t>
  </si>
  <si>
    <t>07.04.03</t>
  </si>
  <si>
    <t>07.04.04</t>
  </si>
  <si>
    <t>07.06.01</t>
  </si>
  <si>
    <t>07.07.01</t>
  </si>
  <si>
    <t>07.09.01</t>
  </si>
  <si>
    <t>07.09.02</t>
  </si>
  <si>
    <t>07.09.03</t>
  </si>
  <si>
    <t>07.09.04</t>
  </si>
  <si>
    <t>08.00.00</t>
  </si>
  <si>
    <t>ТЕХНИКА И ТЕХНОЛОГИИ СТРОИТЕЛЬСТВА</t>
  </si>
  <si>
    <t>08.01.04</t>
  </si>
  <si>
    <t>Кровельщик</t>
  </si>
  <si>
    <t>08.01.05</t>
  </si>
  <si>
    <t>Мастер столярно-плотничных и паркетных работ</t>
  </si>
  <si>
    <t>08.01.08</t>
  </si>
  <si>
    <t>Мастер отделочных строительных работ</t>
  </si>
  <si>
    <t>08.01.24</t>
  </si>
  <si>
    <t>Мастер столярно-плотничьих, паркетных и стекольных работ</t>
  </si>
  <si>
    <t>08.01.28</t>
  </si>
  <si>
    <t>Мастер отделочных строительных и декоративных работ</t>
  </si>
  <si>
    <t>08.02.01</t>
  </si>
  <si>
    <t>Строительство и эксплуатация зданий и сооружений</t>
  </si>
  <si>
    <t>08.02.02</t>
  </si>
  <si>
    <t>Строительство и эксплуатация инженерных сооружений</t>
  </si>
  <si>
    <t>08.02.03</t>
  </si>
  <si>
    <t>Производство неметаллических строительных изделий и конструкций</t>
  </si>
  <si>
    <t>08.02.04</t>
  </si>
  <si>
    <t>Водоснабжение и водоотведение</t>
  </si>
  <si>
    <t>08.02.08</t>
  </si>
  <si>
    <t>Монтаж и эксплуатация оборудования и систем газоснабжения</t>
  </si>
  <si>
    <t>08.02.09</t>
  </si>
  <si>
    <t>Монтаж, наладка и эксплуатация электрооборудования промышленных и гражданских зданий</t>
  </si>
  <si>
    <t>08.02.12</t>
  </si>
  <si>
    <t>Строительство и эксплуатация автомобильных дорог, аэродромов и городских путей сообщения</t>
  </si>
  <si>
    <t>08.02.13</t>
  </si>
  <si>
    <t>Монтаж и эксплуатация внутренних сантехнических устройств, кондиционирования воздуха и вентиляции</t>
  </si>
  <si>
    <t>08.02.14</t>
  </si>
  <si>
    <t>Эксплуатация и обслуживание многоквартирного дома</t>
  </si>
  <si>
    <t>Строительство</t>
  </si>
  <si>
    <t>08.04.01</t>
  </si>
  <si>
    <t>08.05.01</t>
  </si>
  <si>
    <t>Строительство уникальных зданий и сооружений</t>
  </si>
  <si>
    <t>08.06.01</t>
  </si>
  <si>
    <t>Техника и технологии строительства</t>
  </si>
  <si>
    <t>09.00.00</t>
  </si>
  <si>
    <t>ИНФОРМАТИКА И ВЫЧИСЛИТЕЛЬНАЯ ТЕХНИКА</t>
  </si>
  <si>
    <t>09.02.01</t>
  </si>
  <si>
    <t>Компьютерные системы и комплексы</t>
  </si>
  <si>
    <t>09.02.02</t>
  </si>
  <si>
    <t>Компьютерные сети</t>
  </si>
  <si>
    <t>09.02.03</t>
  </si>
  <si>
    <t>Программирование в компьютерных системах</t>
  </si>
  <si>
    <t>09.02.04</t>
  </si>
  <si>
    <t>Информационные системы (по отраслям)</t>
  </si>
  <si>
    <t>09.02.05</t>
  </si>
  <si>
    <t>Прикладная информатика (по отраслям)</t>
  </si>
  <si>
    <t>09.02.06</t>
  </si>
  <si>
    <t>Сетевое и системное администрирование</t>
  </si>
  <si>
    <t>09.02.07</t>
  </si>
  <si>
    <t>Информационные системы и программирование</t>
  </si>
  <si>
    <t>09.03.01</t>
  </si>
  <si>
    <t>Информатика и вычислительная техника</t>
  </si>
  <si>
    <t>09.03.02</t>
  </si>
  <si>
    <t>Информационные системы и технологии</t>
  </si>
  <si>
    <t>09.03.03</t>
  </si>
  <si>
    <t>Прикладная информатика</t>
  </si>
  <si>
    <t>09.03.04</t>
  </si>
  <si>
    <t>Программная инженерия</t>
  </si>
  <si>
    <t>09.04.01</t>
  </si>
  <si>
    <t>09.04.02</t>
  </si>
  <si>
    <t>09.04.03</t>
  </si>
  <si>
    <t>09.04.04</t>
  </si>
  <si>
    <t>09.05.01</t>
  </si>
  <si>
    <t>Применение и эксплуатация автоматизированных систем специального назначения</t>
  </si>
  <si>
    <t>09.06.01</t>
  </si>
  <si>
    <t>10.00.00</t>
  </si>
  <si>
    <t>ИНФОРМАЦИОННАЯ БЕЗОПАСНОСТЬ</t>
  </si>
  <si>
    <t>10.02.01</t>
  </si>
  <si>
    <t>Организация и технология защиты информации</t>
  </si>
  <si>
    <t>10.02.02</t>
  </si>
  <si>
    <t>Информационная безопасность телекоммуникационных систем</t>
  </si>
  <si>
    <t>10.02.03</t>
  </si>
  <si>
    <t>Информационная безопасность автоматизированных систем</t>
  </si>
  <si>
    <t>10.02.04</t>
  </si>
  <si>
    <t>Обеспечение информационной безопасности телекоммуникационных систем</t>
  </si>
  <si>
    <t>10.02.05</t>
  </si>
  <si>
    <t>Обеспечение информационной безопасности автоматизированных систем</t>
  </si>
  <si>
    <t>10.03.01</t>
  </si>
  <si>
    <t>Информационная безопасность</t>
  </si>
  <si>
    <t>10.04.01</t>
  </si>
  <si>
    <t>10.05.01</t>
  </si>
  <si>
    <t>Компьютерная безопасность</t>
  </si>
  <si>
    <t>10.05.02</t>
  </si>
  <si>
    <t>10.05.03</t>
  </si>
  <si>
    <t>10.05.04</t>
  </si>
  <si>
    <t>Информационно-аналитические системы безопасности</t>
  </si>
  <si>
    <t>10.05.05</t>
  </si>
  <si>
    <t>Безопасность информационых технологий в правоохранительной сфере</t>
  </si>
  <si>
    <t>10.05.07</t>
  </si>
  <si>
    <t>Противодействие техническим разведкам</t>
  </si>
  <si>
    <t>10.06.01</t>
  </si>
  <si>
    <t>11.00.00</t>
  </si>
  <si>
    <t>ЭЛЕКТРОНИКА, РАДИОТЕХНИКА И СИСТЕМЫ СВЯЗИ</t>
  </si>
  <si>
    <t>11.02.03</t>
  </si>
  <si>
    <t>Эксплуатация оборудования радиосвязи и электрорадионавигации судов</t>
  </si>
  <si>
    <t>11.02.06</t>
  </si>
  <si>
    <t>Техническая эксплуатация транспортного радиоэлектронного оборудования (по видам транспорта)</t>
  </si>
  <si>
    <t>11.02.07</t>
  </si>
  <si>
    <t>Радиотехнические информационные системы</t>
  </si>
  <si>
    <t>11.02.09</t>
  </si>
  <si>
    <t>Многоканальные телекоммуникационные системы</t>
  </si>
  <si>
    <t>11.02.11</t>
  </si>
  <si>
    <t>Сети связи и системы коммутации</t>
  </si>
  <si>
    <t>11.02.12</t>
  </si>
  <si>
    <t>Почтовая связь</t>
  </si>
  <si>
    <t>11.02.13</t>
  </si>
  <si>
    <t>Твердотельная электроника</t>
  </si>
  <si>
    <t>11.02.14</t>
  </si>
  <si>
    <t>Электронные приборы и устройства</t>
  </si>
  <si>
    <t>11.02.15</t>
  </si>
  <si>
    <t>Инфокоммуникационные сети и системы связи</t>
  </si>
  <si>
    <t>11.02.16</t>
  </si>
  <si>
    <t>Монтаж, техническое обслуживание и ремонт электронных приборов и устройств</t>
  </si>
  <si>
    <t>11.02.17</t>
  </si>
  <si>
    <t>Разработка электронных устройств и систем</t>
  </si>
  <si>
    <t>11.02.18</t>
  </si>
  <si>
    <t>Системы радиосвязи, мобильной связи и телерадиовещания</t>
  </si>
  <si>
    <t>11.03.01</t>
  </si>
  <si>
    <t>Радиотехника</t>
  </si>
  <si>
    <t>11.03.02</t>
  </si>
  <si>
    <t>Инфокоммуникационные технологии и системы связи</t>
  </si>
  <si>
    <t>11.03.03</t>
  </si>
  <si>
    <t>Конструирование и технология электронных средств</t>
  </si>
  <si>
    <t>11.03.04</t>
  </si>
  <si>
    <t>Электроника и наноэлектроника</t>
  </si>
  <si>
    <t>11.05.01</t>
  </si>
  <si>
    <t>Радиоэлектронные системы и комплексы</t>
  </si>
  <si>
    <t>11.05.02</t>
  </si>
  <si>
    <t>Специальные радиотехнические системы</t>
  </si>
  <si>
    <t>11.05.04</t>
  </si>
  <si>
    <t>Инфокоммуникационные технологии и системы специальной связи</t>
  </si>
  <si>
    <t>11.06.01</t>
  </si>
  <si>
    <t>Электроника, радиотехника и системы связи</t>
  </si>
  <si>
    <t>12.00.00</t>
  </si>
  <si>
    <t>ФОТОНИКА, ПРИБОРОСТРОЕНИЕ, ОПТИЧЕСКИЕ И БИОТЕХНИЧЕСКИЕ СИСТЕМЫ И ТЕХНОЛОГИИ</t>
  </si>
  <si>
    <t>12.02.09</t>
  </si>
  <si>
    <t>Производство и эксплуатация оптических и оптико-электронных приборов и систем</t>
  </si>
  <si>
    <t>12.02.10</t>
  </si>
  <si>
    <t>Монтаж, техническое обслуживание и ремонт биотехнических и медицинских аппаратов и систем</t>
  </si>
  <si>
    <t>12.06.01</t>
  </si>
  <si>
    <t>Фотоника, приборостроение, оптические и биотехнические системы и технологии</t>
  </si>
  <si>
    <t>13.00.00</t>
  </si>
  <si>
    <t>ЭЛЕКТРО- И ТЕПЛОЭНЕРГЕТИКА</t>
  </si>
  <si>
    <t>13.02.01</t>
  </si>
  <si>
    <t>Тепловые электрические станции</t>
  </si>
  <si>
    <t>13.02.02</t>
  </si>
  <si>
    <t>Теплоснабжение и теплотехническое оборудование</t>
  </si>
  <si>
    <t>13.02.04</t>
  </si>
  <si>
    <t>Гидроэлектроэнергетические установки</t>
  </si>
  <si>
    <t>13.02.05</t>
  </si>
  <si>
    <t>Технология воды, топлива и смазочных материалов на электрических станциях</t>
  </si>
  <si>
    <t>Электроснабжение</t>
  </si>
  <si>
    <t>13.02.08</t>
  </si>
  <si>
    <t>Электроизоляционная, кабельная и конденсаторная техника</t>
  </si>
  <si>
    <t>13.02.09</t>
  </si>
  <si>
    <t>Монтаж и эксплуатация линий электропередачи</t>
  </si>
  <si>
    <t>13.02.12</t>
  </si>
  <si>
    <t>Электрические станции, сети, их релейная защита и автоматизация</t>
  </si>
  <si>
    <t>13.02.13</t>
  </si>
  <si>
    <t>Эксплуатация и обслуживание электрического и электромеханического оборудования (по отраслям)</t>
  </si>
  <si>
    <t>13.03.02</t>
  </si>
  <si>
    <t>Электроэнергетика и электротехника</t>
  </si>
  <si>
    <t>13.03.03</t>
  </si>
  <si>
    <t>Энергетическое машиностроение</t>
  </si>
  <si>
    <t>13.06.01</t>
  </si>
  <si>
    <t>Электро- и теплоэнергетика</t>
  </si>
  <si>
    <t>14.00.00</t>
  </si>
  <si>
    <t>ЯДЕРНАЯ ЭНЕРГЕТИКА И ТЕХНОЛОГИИ</t>
  </si>
  <si>
    <t>14.02.02</t>
  </si>
  <si>
    <t>Радиационная безопасность</t>
  </si>
  <si>
    <t>14.04.02</t>
  </si>
  <si>
    <t>Ядерные физика и технологии</t>
  </si>
  <si>
    <t>14.06.01</t>
  </si>
  <si>
    <t>Ядерная, тепловая и возобновляемая энергетика и сопутствующие технологии</t>
  </si>
  <si>
    <t>15.00.00</t>
  </si>
  <si>
    <t>МАШИНОСТРОЕНИЕ</t>
  </si>
  <si>
    <t>15.02.01</t>
  </si>
  <si>
    <t>Монтаж и техническая эксплуатация промышленного оборудования (по отраслям)</t>
  </si>
  <si>
    <t>15.02.03</t>
  </si>
  <si>
    <t>Монтаж, техническое обслуживание и ремонт гидравлического и пневматического оборудования (по отраслям)</t>
  </si>
  <si>
    <t>15.02.04</t>
  </si>
  <si>
    <t>Специальные машины и устройства</t>
  </si>
  <si>
    <t>15.02.06</t>
  </si>
  <si>
    <t>Монтаж, техническая эксплуатация и ремонт холодильно-компрессорных и теплонасосных машин и установок (по отраслям)</t>
  </si>
  <si>
    <t>15.02.07</t>
  </si>
  <si>
    <t>Автоматизация технологических процессов и производств (по отраслям)</t>
  </si>
  <si>
    <t>15.02.09</t>
  </si>
  <si>
    <t>Аддитивные технологии</t>
  </si>
  <si>
    <t>15.02.10</t>
  </si>
  <si>
    <t>Мехатроника и робототехника (по отраслям)</t>
  </si>
  <si>
    <t>15.02.16</t>
  </si>
  <si>
    <t>Технология машиностроения</t>
  </si>
  <si>
    <t>15.02.17</t>
  </si>
  <si>
    <t>Монтаж, техническое обслуживание, эксплуатация и ремонт промышленного оборудования (по отраслям)</t>
  </si>
  <si>
    <t>15.02.18</t>
  </si>
  <si>
    <t>Техническая эксплуатация и обслуживание роботизированного производства (по отраслям)</t>
  </si>
  <si>
    <t>15.03.02</t>
  </si>
  <si>
    <t>Технологические машины и оборудование</t>
  </si>
  <si>
    <t>15.04.01</t>
  </si>
  <si>
    <t>Машиностроение</t>
  </si>
  <si>
    <t>15.04.02</t>
  </si>
  <si>
    <t>15.04.03</t>
  </si>
  <si>
    <t>Прикладная механика</t>
  </si>
  <si>
    <t>15.06.01</t>
  </si>
  <si>
    <t>16.00.00</t>
  </si>
  <si>
    <t>ФИЗИКО-ТЕХНИЧЕСКИЕ НАУКИ И ТЕХНОЛОГИИ</t>
  </si>
  <si>
    <t>16.04.03</t>
  </si>
  <si>
    <t>Холодильная, криогенная техника и системы жизнеобеспечения</t>
  </si>
  <si>
    <t>16.06.01</t>
  </si>
  <si>
    <t>Физико-техинческие науки и технологии</t>
  </si>
  <si>
    <t>17.00.00</t>
  </si>
  <si>
    <t>ОРУЖИЕ И СИСТЕМЫ ВООРУЖЕНИЯ</t>
  </si>
  <si>
    <t>17.06.01</t>
  </si>
  <si>
    <t>Оружие и системы вооружения</t>
  </si>
  <si>
    <t>18.00.00</t>
  </si>
  <si>
    <t>ХИМИЧЕСКИЕ ТЕХНОЛОГИИ</t>
  </si>
  <si>
    <t>18.02.09</t>
  </si>
  <si>
    <t>Переработка нефти и газа</t>
  </si>
  <si>
    <t>18.02.13</t>
  </si>
  <si>
    <t>Технология производства изделий из полимерных композитов</t>
  </si>
  <si>
    <t>18.06.01</t>
  </si>
  <si>
    <t>&lt;&gt;</t>
  </si>
  <si>
    <t>19.00.00</t>
  </si>
  <si>
    <t>ПРОМЫШЛЕННАЯ ЭКОЛОГИЯ И БИОТЕХНОЛОГИИ</t>
  </si>
  <si>
    <t>19.03.04</t>
  </si>
  <si>
    <t>Технология продукции и организация общественного питания</t>
  </si>
  <si>
    <t>19.04.04</t>
  </si>
  <si>
    <t>19.06.01</t>
  </si>
  <si>
    <t>20.00.00</t>
  </si>
  <si>
    <t>ТЕХНОСФЕРНАЯ БЕЗОПАСНОСТЬ И ПРИРОДООБУСТРОЙСТВО</t>
  </si>
  <si>
    <t>20.01.01</t>
  </si>
  <si>
    <t>Пожарный</t>
  </si>
  <si>
    <t>20.02.01</t>
  </si>
  <si>
    <t>Экологическая безопасность природных комплексов</t>
  </si>
  <si>
    <t>20.02.02</t>
  </si>
  <si>
    <t>Защита в чрезвычайных ситуациях</t>
  </si>
  <si>
    <t>20.02.05</t>
  </si>
  <si>
    <t>Организация оперативного (экстренного) реагирования в чрезвычайных ситуациях</t>
  </si>
  <si>
    <t>20.03.01</t>
  </si>
  <si>
    <t>Техносферная безопасность</t>
  </si>
  <si>
    <t>20.04.01</t>
  </si>
  <si>
    <t>20.04.02</t>
  </si>
  <si>
    <t>Природообустройство и водопользование</t>
  </si>
  <si>
    <t>20.06.01</t>
  </si>
  <si>
    <t>21.00.00</t>
  </si>
  <si>
    <t>ПРИКЛАДНАЯ ГЕОЛОГИЯ, ГОРНОЕ ДЕЛО, НЕФТЕГАЗОВОЕ ДЕЛО И ГЕОДЕЗИЯ</t>
  </si>
  <si>
    <t>21.01.03</t>
  </si>
  <si>
    <t>Бурильщик эксплуатационных и разведочных скважин</t>
  </si>
  <si>
    <t>21.02.03</t>
  </si>
  <si>
    <t>Сооружение и эксплуатация газонефтепроводов и газонефтехранилищ</t>
  </si>
  <si>
    <t>21.02.09</t>
  </si>
  <si>
    <t>Гидрогеология и инженерная геология</t>
  </si>
  <si>
    <t>21.02.10</t>
  </si>
  <si>
    <t>Геология и разведка нефтяных и газовых месторождений</t>
  </si>
  <si>
    <t>21.02.12</t>
  </si>
  <si>
    <t>Технология и техника разведки месторождений полезных ископаемых</t>
  </si>
  <si>
    <t>21.02.13</t>
  </si>
  <si>
    <t>Геологическая съемка, поиски и разведка месторождений полезных ископаемых</t>
  </si>
  <si>
    <t>21.02.19</t>
  </si>
  <si>
    <t>Землеустройство</t>
  </si>
  <si>
    <t>21.02.20</t>
  </si>
  <si>
    <t>Прикладная геодезия</t>
  </si>
  <si>
    <t>21.03.01</t>
  </si>
  <si>
    <t>Нефтегазовое дело</t>
  </si>
  <si>
    <t>21.04.01</t>
  </si>
  <si>
    <t>21.05.04</t>
  </si>
  <si>
    <t>Горное дело</t>
  </si>
  <si>
    <t>21.05.05</t>
  </si>
  <si>
    <t>Физические процессы горного или нефтегазового производства</t>
  </si>
  <si>
    <t>21.05.06</t>
  </si>
  <si>
    <t>Нефтегазовые техника и технологии</t>
  </si>
  <si>
    <t>21.06.01</t>
  </si>
  <si>
    <t>Геология, разведка и разработка полезных ископаемых</t>
  </si>
  <si>
    <t>21.06.02</t>
  </si>
  <si>
    <t>Геодезия</t>
  </si>
  <si>
    <t>22.00.00</t>
  </si>
  <si>
    <t>ТЕХНОЛОГИИ МАТЕРИАЛОВ</t>
  </si>
  <si>
    <t>22.06.01</t>
  </si>
  <si>
    <t>Технологии материалов</t>
  </si>
  <si>
    <t>23.00.00</t>
  </si>
  <si>
    <t>ТЕХНИКА И ТЕХНОЛОГИИ НАЗЕМНОГО ТРАНСПОРТА</t>
  </si>
  <si>
    <t>23.01.14</t>
  </si>
  <si>
    <t>Электромонтер устройств сигнализации, централизации, блокировки (СЦБ)</t>
  </si>
  <si>
    <t>23.01.15</t>
  </si>
  <si>
    <t>Оператор поста централизации</t>
  </si>
  <si>
    <t>23.01.16</t>
  </si>
  <si>
    <t>Составитель поездов</t>
  </si>
  <si>
    <t>23.01.17</t>
  </si>
  <si>
    <t>Мастер по ремонту и обслуживанию автомобилей</t>
  </si>
  <si>
    <t>23.02.01</t>
  </si>
  <si>
    <t>Организация перевозок и управление на транспорте (по видам)</t>
  </si>
  <si>
    <t>23.02.02</t>
  </si>
  <si>
    <t>Автомобиле- и тракторостроение</t>
  </si>
  <si>
    <t>23.02.03</t>
  </si>
  <si>
    <t>Техническое обслуживание и ремонт автомобильного транспорта</t>
  </si>
  <si>
    <t>23.02.04</t>
  </si>
  <si>
    <t>Техническая эксплуатация подъемно-транспортных, строительных, дорожных машин и оборудования (по отраслям)</t>
  </si>
  <si>
    <t>23.02.05</t>
  </si>
  <si>
    <t>Эксплуатация транспортного электрооборудования и автоматики (по видам транспорта, за исключением водного)</t>
  </si>
  <si>
    <t>23.02.06</t>
  </si>
  <si>
    <t>Техническая эксплуатация подвижного состава железных дорог</t>
  </si>
  <si>
    <t>23.02.07</t>
  </si>
  <si>
    <t>Техническое обслуживание и ремонт двигателей, систем и агрегатов автомобилей</t>
  </si>
  <si>
    <t>23.02.08</t>
  </si>
  <si>
    <t>Строительство железных дорог, путь и путевое хозяйство</t>
  </si>
  <si>
    <t>23.03.01</t>
  </si>
  <si>
    <t>Технология транспортных процессов</t>
  </si>
  <si>
    <t>23.03.02</t>
  </si>
  <si>
    <t>Наземные транспортно-технологические комплексы</t>
  </si>
  <si>
    <t>23.03.03</t>
  </si>
  <si>
    <t>Эксплуатация транспортно-технологических машин и комплексов</t>
  </si>
  <si>
    <t>23.04.01</t>
  </si>
  <si>
    <t>23.04.02</t>
  </si>
  <si>
    <t>23.04.03</t>
  </si>
  <si>
    <t>23.06.01</t>
  </si>
  <si>
    <t>Техника и технологии наземного транспорта</t>
  </si>
  <si>
    <t>24.00.00</t>
  </si>
  <si>
    <t>АВИАЦИОННАЯ И РАКЕТНО-КОСМИЧЕСКАЯ ТЕХНИКА</t>
  </si>
  <si>
    <t>24.02.02</t>
  </si>
  <si>
    <t>Производство авиационных двигателей</t>
  </si>
  <si>
    <t>24.02.04</t>
  </si>
  <si>
    <t>Радиотехнические комплексы и системы управления космических летательных аппаратов</t>
  </si>
  <si>
    <t>24.06.01</t>
  </si>
  <si>
    <t>Авиационная и ракетно-космическая техника</t>
  </si>
  <si>
    <t>25.00.00</t>
  </si>
  <si>
    <t>АЭРОНАВИГАЦИЯ И ЭКСПЛУАТАЦИЯ АВИАЦИОННОЙ И РАКЕТНО-КОСМИЧЕСКОЙ ТЕХНИКИ</t>
  </si>
  <si>
    <t>25.02.06</t>
  </si>
  <si>
    <t>Производство и обслуживание авиационной техники</t>
  </si>
  <si>
    <t>25.02.07</t>
  </si>
  <si>
    <t>Техническое обслуживание авиационных двигателей</t>
  </si>
  <si>
    <t>25.06.01</t>
  </si>
  <si>
    <t>Аэронавигация и эксплуатация авиационной и ракетно-космической техники</t>
  </si>
  <si>
    <t>26.00.00</t>
  </si>
  <si>
    <t>ТЕХНИКА И ТЕХНОЛОГИИ КОРАБЛЕСТРОЕНИЯ И ВОДНОГО ТРАНСПОРТА</t>
  </si>
  <si>
    <t>26.02.01</t>
  </si>
  <si>
    <t>Эксплуатация внутренних водных путей</t>
  </si>
  <si>
    <t>26.02.02</t>
  </si>
  <si>
    <t>Судостроение</t>
  </si>
  <si>
    <t>26.02.03</t>
  </si>
  <si>
    <t>Судовождение</t>
  </si>
  <si>
    <t>26.02.04</t>
  </si>
  <si>
    <t>Монтаж и техническое обслуживание судовых машин и механизмов</t>
  </si>
  <si>
    <t>26.02.05</t>
  </si>
  <si>
    <t>Эксплуатация судовых энергетических установок</t>
  </si>
  <si>
    <t>26.02.06</t>
  </si>
  <si>
    <t>Эксплуатация судового электрооборудования и средств автоматики</t>
  </si>
  <si>
    <t>26.03.01</t>
  </si>
  <si>
    <t>Управление водным транспортом и гидрографическое обеспечение судоходства</t>
  </si>
  <si>
    <t>26.04.01</t>
  </si>
  <si>
    <t>26.06.01</t>
  </si>
  <si>
    <t>Техника и технологии кораблестроения и водного транспорта</t>
  </si>
  <si>
    <t>27.00.00</t>
  </si>
  <si>
    <t>УПРАВЛЕНИЕ В ТЕХНИЧЕСКИХ СИСТЕМАХ</t>
  </si>
  <si>
    <t>27.02.03</t>
  </si>
  <si>
    <t>Автоматика и телемеханика на транспорте (железнодорожном транспорте)</t>
  </si>
  <si>
    <t>27.02.04</t>
  </si>
  <si>
    <t>Автоматические системы управления</t>
  </si>
  <si>
    <t>27.02.05</t>
  </si>
  <si>
    <t>Системы и средства диспетчерского управления</t>
  </si>
  <si>
    <t>27.02.06</t>
  </si>
  <si>
    <t>Метрологический контроль средств измерений</t>
  </si>
  <si>
    <t>27.02.07</t>
  </si>
  <si>
    <t>Управление качеством продукции, процессов и услуг (по отраслям)</t>
  </si>
  <si>
    <t>27.03.01</t>
  </si>
  <si>
    <t>Стандартизация и метрология</t>
  </si>
  <si>
    <t>27.03.02</t>
  </si>
  <si>
    <t>Управление качеством</t>
  </si>
  <si>
    <t>27.03.03</t>
  </si>
  <si>
    <t>Системный анализ и управление</t>
  </si>
  <si>
    <t>27.03.04</t>
  </si>
  <si>
    <t>Управление в технических системах</t>
  </si>
  <si>
    <t>27.03.05</t>
  </si>
  <si>
    <t>Инноватика</t>
  </si>
  <si>
    <t>27.04.03</t>
  </si>
  <si>
    <t>27.04.05</t>
  </si>
  <si>
    <t>27.06.01</t>
  </si>
  <si>
    <t>28.00.00</t>
  </si>
  <si>
    <t>НАНОТЕХНОЛОГИИ И НАНОМАТЕРИАЛЫ</t>
  </si>
  <si>
    <t>28.06.01</t>
  </si>
  <si>
    <t>Нанотехнологии и наноматериалы</t>
  </si>
  <si>
    <t>29.00.00</t>
  </si>
  <si>
    <t>ТЕХНОЛОГИИ ЛЕГКОЙ ПРОМЫШЛЕННОСТИ</t>
  </si>
  <si>
    <t>29.01.04</t>
  </si>
  <si>
    <t>Художник по костюму</t>
  </si>
  <si>
    <t>Конструирование, моделирование и технология изготовления изделий легкой промышленности (по видам)</t>
  </si>
  <si>
    <t>29.02.11</t>
  </si>
  <si>
    <t>Полиграфическое производство</t>
  </si>
  <si>
    <t>29.03.01</t>
  </si>
  <si>
    <t>Технология изделий легкой промышленности</t>
  </si>
  <si>
    <t>29.03.02</t>
  </si>
  <si>
    <t>Технологии и проектирование техстильных изделий</t>
  </si>
  <si>
    <t>29.03.05</t>
  </si>
  <si>
    <t>Конструирование изделий легкой промышленности</t>
  </si>
  <si>
    <t>29.06.01</t>
  </si>
  <si>
    <t>Технологии легкой промышленности</t>
  </si>
  <si>
    <t>30.00.00</t>
  </si>
  <si>
    <t>ФУНДАМЕНТАЛЬНАЯ МЕДИЦИНА</t>
  </si>
  <si>
    <t>30.05.02</t>
  </si>
  <si>
    <t>Медицинская биофизика</t>
  </si>
  <si>
    <t>30.06.01</t>
  </si>
  <si>
    <t>Фундаментальная медицина</t>
  </si>
  <si>
    <t>30.07.01</t>
  </si>
  <si>
    <t>31.00.00</t>
  </si>
  <si>
    <t>КЛИНИЧЕСКАЯ МЕДИЦИНА</t>
  </si>
  <si>
    <t>Медицинский администратор</t>
  </si>
  <si>
    <t>31.02.01</t>
  </si>
  <si>
    <t>Лечебное дело</t>
  </si>
  <si>
    <t>31.02.02</t>
  </si>
  <si>
    <t>Акушерское дело</t>
  </si>
  <si>
    <t>31.02.04</t>
  </si>
  <si>
    <t>Медицинская оптика</t>
  </si>
  <si>
    <t>31.02.06</t>
  </si>
  <si>
    <t>Стоматология профилактическая</t>
  </si>
  <si>
    <t>31.05.01</t>
  </si>
  <si>
    <t>31.05.02</t>
  </si>
  <si>
    <t>Педиатрия</t>
  </si>
  <si>
    <t>31.05.03</t>
  </si>
  <si>
    <t>Стоматология</t>
  </si>
  <si>
    <t>31.05.04</t>
  </si>
  <si>
    <t>Остеопатия</t>
  </si>
  <si>
    <t>31.06.01</t>
  </si>
  <si>
    <t>Клиническая медицина</t>
  </si>
  <si>
    <t>31.07.01</t>
  </si>
  <si>
    <t>31.08.01</t>
  </si>
  <si>
    <t>Акушерство и гинекология</t>
  </si>
  <si>
    <t>31.08.02</t>
  </si>
  <si>
    <t>Анестезиология-реаниматология</t>
  </si>
  <si>
    <t>31.08.03</t>
  </si>
  <si>
    <t>Токсикология</t>
  </si>
  <si>
    <t>31.08.04</t>
  </si>
  <si>
    <t>Трансфузиология</t>
  </si>
  <si>
    <t>31.08.05</t>
  </si>
  <si>
    <t>Клиническая лабораторная диагностика</t>
  </si>
  <si>
    <t>31.08.06</t>
  </si>
  <si>
    <t>Лабораторная генетика</t>
  </si>
  <si>
    <t>31.08.07</t>
  </si>
  <si>
    <t>Патологическая анатомия</t>
  </si>
  <si>
    <t>31.08.08</t>
  </si>
  <si>
    <t>Радиология</t>
  </si>
  <si>
    <t>31.08.09</t>
  </si>
  <si>
    <t>Рентгенология</t>
  </si>
  <si>
    <t>31.08.10</t>
  </si>
  <si>
    <t>Судебно-медицинская экспертиза</t>
  </si>
  <si>
    <t>31.08.11</t>
  </si>
  <si>
    <t>Ультразвуковая диагностика</t>
  </si>
  <si>
    <t>31.08.12</t>
  </si>
  <si>
    <t>Функциональная диагностика</t>
  </si>
  <si>
    <t>31.08.13</t>
  </si>
  <si>
    <t>Детская кардиология</t>
  </si>
  <si>
    <t>31.08.14</t>
  </si>
  <si>
    <t>Детская онкология</t>
  </si>
  <si>
    <t>31.08.15</t>
  </si>
  <si>
    <t>Детская урология-андрология</t>
  </si>
  <si>
    <t>31.08.16</t>
  </si>
  <si>
    <t>Детская хирургия</t>
  </si>
  <si>
    <t>31.08.17</t>
  </si>
  <si>
    <t>Детская эндокринология</t>
  </si>
  <si>
    <t>31.08.18</t>
  </si>
  <si>
    <t>Неонатология</t>
  </si>
  <si>
    <t>31.08.19</t>
  </si>
  <si>
    <t>31.08.20</t>
  </si>
  <si>
    <t>Психиатрия</t>
  </si>
  <si>
    <t>31.08.21</t>
  </si>
  <si>
    <t>Психиатрия-наркология</t>
  </si>
  <si>
    <t>31.08.22</t>
  </si>
  <si>
    <t>Психотерапия</t>
  </si>
  <si>
    <t>31.08.23</t>
  </si>
  <si>
    <t>Сексология</t>
  </si>
  <si>
    <t>31.08.24</t>
  </si>
  <si>
    <t>Судебно-психиатрическая экспертиза</t>
  </si>
  <si>
    <t>31.08.25</t>
  </si>
  <si>
    <t>Авиационная и космическая медицина</t>
  </si>
  <si>
    <t>31.08.26</t>
  </si>
  <si>
    <t>Аллергология и иммунология</t>
  </si>
  <si>
    <t>31.08.27</t>
  </si>
  <si>
    <t>Водолазная медицина</t>
  </si>
  <si>
    <t>31.08.28</t>
  </si>
  <si>
    <t>Гастроэнтерология</t>
  </si>
  <si>
    <t>31.08.29</t>
  </si>
  <si>
    <t>Гематология</t>
  </si>
  <si>
    <t>31.08.30</t>
  </si>
  <si>
    <t>Генетика</t>
  </si>
  <si>
    <t>31.08.31</t>
  </si>
  <si>
    <t>Гериатрия</t>
  </si>
  <si>
    <t>31.08.32</t>
  </si>
  <si>
    <t>Дерматовенерология</t>
  </si>
  <si>
    <t>31.08.33</t>
  </si>
  <si>
    <t>Диабетология</t>
  </si>
  <si>
    <t>31.08.34</t>
  </si>
  <si>
    <t>Диетология</t>
  </si>
  <si>
    <t>31.08.35</t>
  </si>
  <si>
    <t>Инфекционные болезни</t>
  </si>
  <si>
    <t>31.08.36</t>
  </si>
  <si>
    <t>Кардиология</t>
  </si>
  <si>
    <t>31.08.37</t>
  </si>
  <si>
    <t>Клиническая фармакология</t>
  </si>
  <si>
    <t>31.08.38</t>
  </si>
  <si>
    <t>Косметология</t>
  </si>
  <si>
    <t>31.08.39</t>
  </si>
  <si>
    <t>Лечебная физкультура и спортивная медицина</t>
  </si>
  <si>
    <t>31.08.40</t>
  </si>
  <si>
    <t>Мануальная терапия</t>
  </si>
  <si>
    <t>31.08.41</t>
  </si>
  <si>
    <t>Медико-социальная экспертиза</t>
  </si>
  <si>
    <t>31.08.42</t>
  </si>
  <si>
    <t>Неврология</t>
  </si>
  <si>
    <t>31.08.43</t>
  </si>
  <si>
    <t>Нефрология</t>
  </si>
  <si>
    <t>31.08.44</t>
  </si>
  <si>
    <t>Профпатология</t>
  </si>
  <si>
    <t>31.08.45</t>
  </si>
  <si>
    <t>Пульмонология</t>
  </si>
  <si>
    <t>31.08.46</t>
  </si>
  <si>
    <t>Ревматология</t>
  </si>
  <si>
    <t>31.08.47</t>
  </si>
  <si>
    <t>Рефлексотерапия</t>
  </si>
  <si>
    <t>31.08.48</t>
  </si>
  <si>
    <t>Скорая медицинская помощь</t>
  </si>
  <si>
    <t>31.08.49</t>
  </si>
  <si>
    <t>Терапия</t>
  </si>
  <si>
    <t>31.08.50</t>
  </si>
  <si>
    <t>Физиотерапия</t>
  </si>
  <si>
    <t>31.08.51</t>
  </si>
  <si>
    <t>Фтизиатрия</t>
  </si>
  <si>
    <t>31.08.52</t>
  </si>
  <si>
    <t>31.08.53</t>
  </si>
  <si>
    <t>Эндокринология</t>
  </si>
  <si>
    <t>31.08.54</t>
  </si>
  <si>
    <t>Общая врачебная практика (семейная медицина)</t>
  </si>
  <si>
    <t>31.08.55</t>
  </si>
  <si>
    <t>Колопроктология</t>
  </si>
  <si>
    <t>31.08.56</t>
  </si>
  <si>
    <t>Нейрохирургия</t>
  </si>
  <si>
    <t>31.08.57</t>
  </si>
  <si>
    <t>Онкология</t>
  </si>
  <si>
    <t>31.08.58</t>
  </si>
  <si>
    <t>Оториноларингология</t>
  </si>
  <si>
    <t>31.08.59</t>
  </si>
  <si>
    <t>Офтальмология</t>
  </si>
  <si>
    <t>31.08.60</t>
  </si>
  <si>
    <t>Пластическая хирургия</t>
  </si>
  <si>
    <t>31.08.61</t>
  </si>
  <si>
    <t>Радиотерапия</t>
  </si>
  <si>
    <t>31.08.62</t>
  </si>
  <si>
    <t>Рентгенэндоваскулярные диагностика и лечение</t>
  </si>
  <si>
    <t>31.08.63</t>
  </si>
  <si>
    <t>Сердечно-сосудистая хирургия</t>
  </si>
  <si>
    <t>31.08.64</t>
  </si>
  <si>
    <t>Сурдология-оториноларингология</t>
  </si>
  <si>
    <t>31.08.65</t>
  </si>
  <si>
    <t>Торакальная хирургия</t>
  </si>
  <si>
    <t>31.08.66</t>
  </si>
  <si>
    <t>Травматология и ортопедия</t>
  </si>
  <si>
    <t>31.08.67</t>
  </si>
  <si>
    <t>Хирургия</t>
  </si>
  <si>
    <t>31.08.68</t>
  </si>
  <si>
    <t>Урология</t>
  </si>
  <si>
    <t>31.08.69</t>
  </si>
  <si>
    <t>Челюстно-лицевая хирургия</t>
  </si>
  <si>
    <t>31.08.70</t>
  </si>
  <si>
    <t>Эндоскопия</t>
  </si>
  <si>
    <t>31.08.71</t>
  </si>
  <si>
    <t>Организация здравоохранения и общественное здоровье</t>
  </si>
  <si>
    <t>31.08.72</t>
  </si>
  <si>
    <t>Стоматология общей практики</t>
  </si>
  <si>
    <t>31.08.73</t>
  </si>
  <si>
    <t>Стоматология терапевтическая</t>
  </si>
  <si>
    <t>31.08.74</t>
  </si>
  <si>
    <t>Стоматология хирургическая</t>
  </si>
  <si>
    <t>31.08.75</t>
  </si>
  <si>
    <t>Стоматология ортопедическая</t>
  </si>
  <si>
    <t>31.08.76</t>
  </si>
  <si>
    <t>Стоматология детская</t>
  </si>
  <si>
    <t>31.08.77</t>
  </si>
  <si>
    <t>Ортодонтия</t>
  </si>
  <si>
    <t>32.00.00</t>
  </si>
  <si>
    <t>НАУКИ О ЗДОРОВЬЕ И ПРОФИЛАКТИЧЕСКАЯ МЕДИЦИНА</t>
  </si>
  <si>
    <t>32.02.01</t>
  </si>
  <si>
    <t>Медико-профилактическое дело</t>
  </si>
  <si>
    <t>32.04.01</t>
  </si>
  <si>
    <t>Общественное здравоохранение</t>
  </si>
  <si>
    <t>32.05.01</t>
  </si>
  <si>
    <t>32.06.01</t>
  </si>
  <si>
    <t>32.07.01</t>
  </si>
  <si>
    <t>32.08.01</t>
  </si>
  <si>
    <t>Гигиена детей и подростков</t>
  </si>
  <si>
    <t>32.08.02</t>
  </si>
  <si>
    <t>Гигиена питания</t>
  </si>
  <si>
    <t>32.08.03</t>
  </si>
  <si>
    <t>Гигиена труда</t>
  </si>
  <si>
    <t>32.08.04</t>
  </si>
  <si>
    <t>Гигиеническое воспитание</t>
  </si>
  <si>
    <t>32.08.05</t>
  </si>
  <si>
    <t>Дезинфектология</t>
  </si>
  <si>
    <t>32.08.06</t>
  </si>
  <si>
    <t>Коммунальная гигиена</t>
  </si>
  <si>
    <t>32.08.07</t>
  </si>
  <si>
    <t>Общая гигиена</t>
  </si>
  <si>
    <t>32.08.08</t>
  </si>
  <si>
    <t>Паразитология</t>
  </si>
  <si>
    <t>32.08.09</t>
  </si>
  <si>
    <t>Радиационная гигиена</t>
  </si>
  <si>
    <t>32.08.10</t>
  </si>
  <si>
    <t>Санитарно-гигиенические лабораторные исследования</t>
  </si>
  <si>
    <t>32.08.11</t>
  </si>
  <si>
    <t>Социальная гигиена и организация госсанэпидслужбы</t>
  </si>
  <si>
    <t>32.08.12</t>
  </si>
  <si>
    <t>Эпидемиология</t>
  </si>
  <si>
    <t>32.08.13</t>
  </si>
  <si>
    <t>Вирусология</t>
  </si>
  <si>
    <t>32.08.14</t>
  </si>
  <si>
    <t>Бактериология</t>
  </si>
  <si>
    <t>33.00.00</t>
  </si>
  <si>
    <t>ФАРМАЦИЯ</t>
  </si>
  <si>
    <t>33.02.01</t>
  </si>
  <si>
    <t>Фармация</t>
  </si>
  <si>
    <t>33.05.01</t>
  </si>
  <si>
    <t>33.06.01</t>
  </si>
  <si>
    <t>33.07.01</t>
  </si>
  <si>
    <t>33.08.01</t>
  </si>
  <si>
    <t>Фармацевтическая технология</t>
  </si>
  <si>
    <t>33.08.02</t>
  </si>
  <si>
    <t>Управление и экономика фармации</t>
  </si>
  <si>
    <t>33.08.03</t>
  </si>
  <si>
    <t>Фармацевимческая химия и фармакогнозия</t>
  </si>
  <si>
    <t>34.00.00</t>
  </si>
  <si>
    <t>СЕСТРИНСКОЕ ДЕЛО</t>
  </si>
  <si>
    <t>34.02.01</t>
  </si>
  <si>
    <t>Сестринское дело</t>
  </si>
  <si>
    <t>34.02.02</t>
  </si>
  <si>
    <t>Медицинский массаж (для обучения лиц с ограниченными возможностями здоровья по зрению)</t>
  </si>
  <si>
    <t>34.03.01</t>
  </si>
  <si>
    <t>35.00.00</t>
  </si>
  <si>
    <t>СЕЛЬСКОЕ, ЛЕСНОЕ И РЫБНОЕ ХОЗЯЙСТВО</t>
  </si>
  <si>
    <t>35.01.01</t>
  </si>
  <si>
    <t>Мастер по лесному хозяйству</t>
  </si>
  <si>
    <t>35.01.05</t>
  </si>
  <si>
    <t>Контролер качества материалов и продукции деревообрабатывающего производства</t>
  </si>
  <si>
    <t>35.01.06</t>
  </si>
  <si>
    <t>Машинист машин по производству бумаги и картона</t>
  </si>
  <si>
    <t>35.01.07</t>
  </si>
  <si>
    <t>Сушильщик в бумажном производстве</t>
  </si>
  <si>
    <t>35.01.08</t>
  </si>
  <si>
    <t>Контролер целлюлозно-бумажного производства</t>
  </si>
  <si>
    <t>35.01.16</t>
  </si>
  <si>
    <t>Мастер по водным биоресурсам и аквакультуре</t>
  </si>
  <si>
    <t>35.01.25</t>
  </si>
  <si>
    <t>Оператор-станочник деревообрабатывающего оборудования</t>
  </si>
  <si>
    <t>35.02.09</t>
  </si>
  <si>
    <t>Водные биоресурсы и аквакультура</t>
  </si>
  <si>
    <t>Садово-парковое и ландшафтное строительство</t>
  </si>
  <si>
    <t>35.03.01</t>
  </si>
  <si>
    <t>Лесное дело</t>
  </si>
  <si>
    <t>35.03.03</t>
  </si>
  <si>
    <t>Агрохимия и агропочвоведение</t>
  </si>
  <si>
    <t>35.03.05</t>
  </si>
  <si>
    <t>Садоводство</t>
  </si>
  <si>
    <t>35.03.06</t>
  </si>
  <si>
    <t>Агроинженерия</t>
  </si>
  <si>
    <t>Ландшафтная архитектура</t>
  </si>
  <si>
    <t>35.04.03</t>
  </si>
  <si>
    <t>35.04.08</t>
  </si>
  <si>
    <t>Промышленное рыболовство</t>
  </si>
  <si>
    <t>35.04.09</t>
  </si>
  <si>
    <t>35.06.01</t>
  </si>
  <si>
    <t>Сельское хозяйство</t>
  </si>
  <si>
    <t>35.06.02</t>
  </si>
  <si>
    <t>35.06.03</t>
  </si>
  <si>
    <t>Рыбное хозяйство</t>
  </si>
  <si>
    <t>35.06.04</t>
  </si>
  <si>
    <t>Технологии, средства механизации и энергетическое оборудование в сельском, лесном и рыбном хозяйстве</t>
  </si>
  <si>
    <t>36.00.00</t>
  </si>
  <si>
    <t>ВЕТЕРИНАРИЯ И ЗООТЕХНИЯ</t>
  </si>
  <si>
    <t>36.02.01</t>
  </si>
  <si>
    <t>Ветеринария</t>
  </si>
  <si>
    <t>36.03.01</t>
  </si>
  <si>
    <t>Ветеринарно-санитарная экспертиза</t>
  </si>
  <si>
    <t>36.04.02</t>
  </si>
  <si>
    <t>Зоотехния</t>
  </si>
  <si>
    <t>36.05.01</t>
  </si>
  <si>
    <t>36.06.01</t>
  </si>
  <si>
    <t>Ветеринария и зоотехния</t>
  </si>
  <si>
    <t>37.00.00</t>
  </si>
  <si>
    <t>ПСИХОЛОГИЧЕСКИЕ НАУКИ</t>
  </si>
  <si>
    <t>37.03.02</t>
  </si>
  <si>
    <t>Конфликтология</t>
  </si>
  <si>
    <t>37.04.01</t>
  </si>
  <si>
    <t>37.04.02</t>
  </si>
  <si>
    <t>37.05.01</t>
  </si>
  <si>
    <t>Клиническая психология</t>
  </si>
  <si>
    <t>37.05.02</t>
  </si>
  <si>
    <t>Психология служебной деятельности</t>
  </si>
  <si>
    <t>37.06.01</t>
  </si>
  <si>
    <t>Психологические науки</t>
  </si>
  <si>
    <t>38.00.00</t>
  </si>
  <si>
    <t>ЭКОНОМИКА И УПРАВЛЕНИЕ</t>
  </si>
  <si>
    <t>38.01.01</t>
  </si>
  <si>
    <t>Оператор диспетчерской (производственно-диспетчерской) службы</t>
  </si>
  <si>
    <t>38.01.02</t>
  </si>
  <si>
    <t>Продавец, контролер-кассир</t>
  </si>
  <si>
    <t>38.01.03</t>
  </si>
  <si>
    <t>Контролер банка</t>
  </si>
  <si>
    <t>38.02.01</t>
  </si>
  <si>
    <t>Экономика и бухгалтерский учет (по отраслям)</t>
  </si>
  <si>
    <t>38.02.02</t>
  </si>
  <si>
    <t>Страховое дело (по отраслям)</t>
  </si>
  <si>
    <t>38.02.03</t>
  </si>
  <si>
    <t>Операционная деятельность в логистике</t>
  </si>
  <si>
    <t>38.02.06</t>
  </si>
  <si>
    <t>Финансы</t>
  </si>
  <si>
    <t>Банковское дело</t>
  </si>
  <si>
    <t>38.02.08</t>
  </si>
  <si>
    <t>Торговое дело</t>
  </si>
  <si>
    <t>38.03.02</t>
  </si>
  <si>
    <t>Менеджмент</t>
  </si>
  <si>
    <t>Управление персоналом</t>
  </si>
  <si>
    <t>Государственное и муниципальное управление</t>
  </si>
  <si>
    <t>38.03.05</t>
  </si>
  <si>
    <t>Бизнес-информатика</t>
  </si>
  <si>
    <t>38.03.06</t>
  </si>
  <si>
    <t>38.03.07</t>
  </si>
  <si>
    <t>Товароведение</t>
  </si>
  <si>
    <t>38.03.10</t>
  </si>
  <si>
    <t>Жилищное хозяйство и коммунальная инфраструктура</t>
  </si>
  <si>
    <t>38.04.01</t>
  </si>
  <si>
    <t>38.04.02</t>
  </si>
  <si>
    <t>38.04.03</t>
  </si>
  <si>
    <t>38.04.04</t>
  </si>
  <si>
    <t>38.04.05</t>
  </si>
  <si>
    <t>38.04.06</t>
  </si>
  <si>
    <t>38.04.07</t>
  </si>
  <si>
    <t>38.04.08</t>
  </si>
  <si>
    <t>Финансы и кредит</t>
  </si>
  <si>
    <t>38.04.09</t>
  </si>
  <si>
    <t>Государственный аудит</t>
  </si>
  <si>
    <t>Экономическая безопасность</t>
  </si>
  <si>
    <t>38.05.02</t>
  </si>
  <si>
    <t>Таможенное дело</t>
  </si>
  <si>
    <t>38.06.01</t>
  </si>
  <si>
    <t>38.07.02</t>
  </si>
  <si>
    <t>39.00.00</t>
  </si>
  <si>
    <t>СОЦИОЛОГИЯ И СОЦИАЛЬНАЯ РАБОТА</t>
  </si>
  <si>
    <t>39.01.01</t>
  </si>
  <si>
    <t>Социальный работник</t>
  </si>
  <si>
    <t>Социальная работа</t>
  </si>
  <si>
    <t>39.02.02</t>
  </si>
  <si>
    <t>Сурдокоммуникация</t>
  </si>
  <si>
    <t>Организация работы с молодежью</t>
  </si>
  <si>
    <t>39.04.03</t>
  </si>
  <si>
    <t>39.06.01</t>
  </si>
  <si>
    <t>Социологические науки</t>
  </si>
  <si>
    <t>39.07.01</t>
  </si>
  <si>
    <t>40.00.00</t>
  </si>
  <si>
    <t>ЮРИСПРУДЕНЦИЯ</t>
  </si>
  <si>
    <t>40.02.02</t>
  </si>
  <si>
    <t>Правоохранительная деятельность</t>
  </si>
  <si>
    <t>Юриспруденция</t>
  </si>
  <si>
    <t>40.05.01</t>
  </si>
  <si>
    <t>Правовое обеспечение национальной безопасности</t>
  </si>
  <si>
    <t>40.05.02</t>
  </si>
  <si>
    <t>40.05.03</t>
  </si>
  <si>
    <t>Судебная экспертиза</t>
  </si>
  <si>
    <t>40.05.04</t>
  </si>
  <si>
    <t>Судебная и прокурорская деятельность</t>
  </si>
  <si>
    <t>41.00.00</t>
  </si>
  <si>
    <t>ПОЛИТИЧЕСКИЕ НАУКИ И РЕГИОНОВЕДЕНИЕ</t>
  </si>
  <si>
    <t>41.03.01</t>
  </si>
  <si>
    <t>Зарубежное регионоведение</t>
  </si>
  <si>
    <t>41.03.02</t>
  </si>
  <si>
    <t>Регионоведение России</t>
  </si>
  <si>
    <t>41.03.03</t>
  </si>
  <si>
    <t>Востоковедение и африканистика</t>
  </si>
  <si>
    <t>Международные отношения</t>
  </si>
  <si>
    <t>41.03.06</t>
  </si>
  <si>
    <t>Публичная политика и социальные науки</t>
  </si>
  <si>
    <t>41.04.01</t>
  </si>
  <si>
    <t>41.04.02</t>
  </si>
  <si>
    <t>41.04.03</t>
  </si>
  <si>
    <t>41.04.04</t>
  </si>
  <si>
    <t>41.04.05</t>
  </si>
  <si>
    <t>41.04.06</t>
  </si>
  <si>
    <t>Публичная политика</t>
  </si>
  <si>
    <t>41.06.01</t>
  </si>
  <si>
    <t>Политические науки и регионоведение</t>
  </si>
  <si>
    <t>41.07.01</t>
  </si>
  <si>
    <t>42.00.00</t>
  </si>
  <si>
    <t>СРЕДСТВА МАССОВОЙ ИНФОРМАЦИИ И ИНФОРМАЦИОННО-БИБЛИОТЕЧНОЕ ДЕЛО</t>
  </si>
  <si>
    <t>42.02.01</t>
  </si>
  <si>
    <t>Реклама</t>
  </si>
  <si>
    <t>42.03.01</t>
  </si>
  <si>
    <t>Реклама и связи с общественностью</t>
  </si>
  <si>
    <t>42.03.02</t>
  </si>
  <si>
    <t>Журналистика</t>
  </si>
  <si>
    <t>42.03.03</t>
  </si>
  <si>
    <t>Издательское дело</t>
  </si>
  <si>
    <t>42.03.04</t>
  </si>
  <si>
    <t>Телевидение</t>
  </si>
  <si>
    <t>42.03.05</t>
  </si>
  <si>
    <t>Медиакоммуникации</t>
  </si>
  <si>
    <t>42.04.01</t>
  </si>
  <si>
    <t>42.04.02</t>
  </si>
  <si>
    <t>42.04.03</t>
  </si>
  <si>
    <t>42.04.04</t>
  </si>
  <si>
    <t>42.04.05</t>
  </si>
  <si>
    <t>42.06.01</t>
  </si>
  <si>
    <t>Средства массовой информации и информационно-библиотечное дело</t>
  </si>
  <si>
    <t>43.00.00</t>
  </si>
  <si>
    <t>СЕРВИС И ТУРИЗМ</t>
  </si>
  <si>
    <t>Мастер флористического сервиса</t>
  </si>
  <si>
    <t>43.02.01</t>
  </si>
  <si>
    <t>Организация обслуживания в общественном питании</t>
  </si>
  <si>
    <t>43.02.02</t>
  </si>
  <si>
    <t>Парикмахерское искусство</t>
  </si>
  <si>
    <t>43.02.04</t>
  </si>
  <si>
    <t>Прикладная эстетика</t>
  </si>
  <si>
    <t>43.02.06</t>
  </si>
  <si>
    <t>Сервис на транспорте (по видам транспорта)</t>
  </si>
  <si>
    <t>43.02.09</t>
  </si>
  <si>
    <t>Ритуальный сервис</t>
  </si>
  <si>
    <t>43.02.11</t>
  </si>
  <si>
    <t>Гостиничный сервис</t>
  </si>
  <si>
    <t>43.02.15</t>
  </si>
  <si>
    <t>Поварское и кондитерское дело</t>
  </si>
  <si>
    <t>Туризм и гостеприимство</t>
  </si>
  <si>
    <t>43.02.17</t>
  </si>
  <si>
    <t>Технологии индустрии красоты</t>
  </si>
  <si>
    <t>43.03.01</t>
  </si>
  <si>
    <t>Сервис</t>
  </si>
  <si>
    <t>Туризм</t>
  </si>
  <si>
    <t>43.03.03</t>
  </si>
  <si>
    <t>Гостиничное дело</t>
  </si>
  <si>
    <t>43.04.01</t>
  </si>
  <si>
    <t>43.04.02</t>
  </si>
  <si>
    <t>43.04.03</t>
  </si>
  <si>
    <t>44.00.00</t>
  </si>
  <si>
    <t>ОБРАЗОВАНИЕ И ПЕДАГОГИЧЕСКИЕ НАУКИ</t>
  </si>
  <si>
    <t>44.02.01</t>
  </si>
  <si>
    <t>Дошкольное образование</t>
  </si>
  <si>
    <t>Преподавание в начальных классах</t>
  </si>
  <si>
    <t>44.02.03</t>
  </si>
  <si>
    <t>Педагогика дополнительного образования</t>
  </si>
  <si>
    <t>44.02.04</t>
  </si>
  <si>
    <t>Специальное дошкольное образование</t>
  </si>
  <si>
    <t>44.02.05</t>
  </si>
  <si>
    <t>Коррекционная педагогика в начальном образовании</t>
  </si>
  <si>
    <t>44.02.06</t>
  </si>
  <si>
    <t>Профессиональное обучение (по отраслям)</t>
  </si>
  <si>
    <t>Педагогическое образование</t>
  </si>
  <si>
    <t>44.03.02</t>
  </si>
  <si>
    <t>Психолого-педагогическое образование</t>
  </si>
  <si>
    <t>44.03.03</t>
  </si>
  <si>
    <t>Специальное (дефектологическое) образование</t>
  </si>
  <si>
    <t>44.03.04</t>
  </si>
  <si>
    <t>Педагогическое образование (с двумя профилями подготовки)</t>
  </si>
  <si>
    <t>44.04.02</t>
  </si>
  <si>
    <t>44.04.03</t>
  </si>
  <si>
    <t>44.04.04</t>
  </si>
  <si>
    <t>44.05.01</t>
  </si>
  <si>
    <t>Педагогика и психология девиантного поведения</t>
  </si>
  <si>
    <t>44.06.01</t>
  </si>
  <si>
    <t>Образование и педагогические науки</t>
  </si>
  <si>
    <t>44.07.01</t>
  </si>
  <si>
    <t>44.07.02</t>
  </si>
  <si>
    <t>45.00.00</t>
  </si>
  <si>
    <t>ЯЗЫКОЗНАНИЕ И ЛИТЕРАТУРОВЕДЕНИЕ</t>
  </si>
  <si>
    <t>Филология</t>
  </si>
  <si>
    <t>Лингвистика</t>
  </si>
  <si>
    <t>Фундаментальная и прикладная лингвистика</t>
  </si>
  <si>
    <t>45.03.04</t>
  </si>
  <si>
    <t>Интеллектуальные системы в гуманитарной сфере</t>
  </si>
  <si>
    <t>45.03.99</t>
  </si>
  <si>
    <t>Литературные произведения</t>
  </si>
  <si>
    <t>45.04.04</t>
  </si>
  <si>
    <t>45.05.01</t>
  </si>
  <si>
    <t>Перевод и переводоведение</t>
  </si>
  <si>
    <t>Языкознание и литературоведение</t>
  </si>
  <si>
    <t>45.07.01</t>
  </si>
  <si>
    <t>46.00.00</t>
  </si>
  <si>
    <t>ИСТОРИЯ И АРХЕОЛОГИЯ</t>
  </si>
  <si>
    <t>46.02.01</t>
  </si>
  <si>
    <t>Документационное обеспечение управления и архивоведение</t>
  </si>
  <si>
    <t>Документоведение и архивоведение</t>
  </si>
  <si>
    <t>46.03.03</t>
  </si>
  <si>
    <t>Антропология и этнология</t>
  </si>
  <si>
    <t>46.03.04</t>
  </si>
  <si>
    <t>Археология</t>
  </si>
  <si>
    <t>46.04.02</t>
  </si>
  <si>
    <t>46.04.03</t>
  </si>
  <si>
    <t>46.06.01</t>
  </si>
  <si>
    <t>Исторические науки и археология</t>
  </si>
  <si>
    <t>ФИЛОСОФИЯ, ЭТИКА И РЕЛИГИОВЕДЕНИЕ</t>
  </si>
  <si>
    <t>47.03.02</t>
  </si>
  <si>
    <t>Прикладная этика</t>
  </si>
  <si>
    <t>47.03.03</t>
  </si>
  <si>
    <t>Религиоведение</t>
  </si>
  <si>
    <t>47.04.02</t>
  </si>
  <si>
    <t>47.04.03</t>
  </si>
  <si>
    <t>47.06.01</t>
  </si>
  <si>
    <t>Философия, этика и религиоведение</t>
  </si>
  <si>
    <t>47.07.01</t>
  </si>
  <si>
    <t>48.00.00</t>
  </si>
  <si>
    <t>ТЕОЛОГИЯ</t>
  </si>
  <si>
    <t>48.03.01</t>
  </si>
  <si>
    <t>Теология</t>
  </si>
  <si>
    <t>48.04.01</t>
  </si>
  <si>
    <t>48.06.01</t>
  </si>
  <si>
    <t>49.00.00</t>
  </si>
  <si>
    <t>ФИЗИЧЕСКАЯ КУЛЬТУРА И СПОРТ</t>
  </si>
  <si>
    <t>49.02.01</t>
  </si>
  <si>
    <t>49.02.02</t>
  </si>
  <si>
    <t>Адаптивная физическая культура</t>
  </si>
  <si>
    <t>49.03.01</t>
  </si>
  <si>
    <t>49.03.02</t>
  </si>
  <si>
    <t>Физическая культура для лиц с отклонениями в состоянии здоровья (адаптивная физическая культура)</t>
  </si>
  <si>
    <t>49.03.03</t>
  </si>
  <si>
    <t>Рекреация и спортивно-оздоровительный туризм</t>
  </si>
  <si>
    <t>49.03.04</t>
  </si>
  <si>
    <t>Спорт</t>
  </si>
  <si>
    <t>49.04.01</t>
  </si>
  <si>
    <t>49.04.02</t>
  </si>
  <si>
    <t>49.04.03</t>
  </si>
  <si>
    <t>49.06.01</t>
  </si>
  <si>
    <t>Физическая культура и спорт</t>
  </si>
  <si>
    <t>49.07.01</t>
  </si>
  <si>
    <t>50.00.00</t>
  </si>
  <si>
    <t>ИСКУССТВОЗНАНИЕ</t>
  </si>
  <si>
    <t>50.02.01</t>
  </si>
  <si>
    <t>Мировая художественная культура</t>
  </si>
  <si>
    <t>50.03.01</t>
  </si>
  <si>
    <t>Искусства и гуманитарные науки</t>
  </si>
  <si>
    <t>50.03.02</t>
  </si>
  <si>
    <t>Изящные искусства</t>
  </si>
  <si>
    <t>50.03.03</t>
  </si>
  <si>
    <t>История искусств</t>
  </si>
  <si>
    <t>50.03.04</t>
  </si>
  <si>
    <t>Теория и история искусств</t>
  </si>
  <si>
    <t>50.04.01</t>
  </si>
  <si>
    <t>50.04.02</t>
  </si>
  <si>
    <t>50.04.03</t>
  </si>
  <si>
    <t>50.04.04</t>
  </si>
  <si>
    <t>50.06.01</t>
  </si>
  <si>
    <t>Исскуствоведение</t>
  </si>
  <si>
    <t>50.07.01</t>
  </si>
  <si>
    <t>51.00.00</t>
  </si>
  <si>
    <t>КУЛЬТУРОВЕДЕНИЕ И СОЦИОКУЛЬТУРНЫЕ ПРОЕКТЫ</t>
  </si>
  <si>
    <t>51.02.01</t>
  </si>
  <si>
    <t>Народное художественное творчество (по видам)</t>
  </si>
  <si>
    <t>51.02.02</t>
  </si>
  <si>
    <t>Социально-культурная деятельность (по видам)</t>
  </si>
  <si>
    <t>Библиотечно-информационная деятельность</t>
  </si>
  <si>
    <t>51.03.01</t>
  </si>
  <si>
    <t>Народная художественная культура</t>
  </si>
  <si>
    <t>51.03.03</t>
  </si>
  <si>
    <t>Социально-культурная деятельность</t>
  </si>
  <si>
    <t>51.03.04</t>
  </si>
  <si>
    <t>Музеология и охрана объектов культурного и природного наследия</t>
  </si>
  <si>
    <t>Режессура театрализованных представлений и праздников</t>
  </si>
  <si>
    <t>51.04.01</t>
  </si>
  <si>
    <t>51.04.02</t>
  </si>
  <si>
    <t>51.04.03</t>
  </si>
  <si>
    <t>51.04.04</t>
  </si>
  <si>
    <t>51.04.05</t>
  </si>
  <si>
    <t>51.04.06</t>
  </si>
  <si>
    <t>51.05.01</t>
  </si>
  <si>
    <t>Звукорежиссура культурно-массовых представлений и концертных программ</t>
  </si>
  <si>
    <t>51.06.01</t>
  </si>
  <si>
    <t>52.00.00</t>
  </si>
  <si>
    <t>СЦЕНИЧЕСКИЕ ИСКУССТВА И ЛИТЕРАТУРНОЕ ТВОРЧЕСТВО</t>
  </si>
  <si>
    <t>52.02.01</t>
  </si>
  <si>
    <t>Искусство балета</t>
  </si>
  <si>
    <t>52.02.02</t>
  </si>
  <si>
    <t>Искусство танца (по видам)</t>
  </si>
  <si>
    <t>52.02.03</t>
  </si>
  <si>
    <t>Цирковое искусство</t>
  </si>
  <si>
    <t>52.02.04</t>
  </si>
  <si>
    <t>Актерское искусство</t>
  </si>
  <si>
    <t>52.02.05</t>
  </si>
  <si>
    <t>Искусство эстрады</t>
  </si>
  <si>
    <t>52.03.01</t>
  </si>
  <si>
    <t>Хореографическое искусство</t>
  </si>
  <si>
    <t>52.03.02</t>
  </si>
  <si>
    <t>Хореографическое исполнительство</t>
  </si>
  <si>
    <t>52.03.04</t>
  </si>
  <si>
    <t>Технология художественного оформления спектакля</t>
  </si>
  <si>
    <t>52.03.05</t>
  </si>
  <si>
    <t>Театроведение</t>
  </si>
  <si>
    <t>52.04.03</t>
  </si>
  <si>
    <t>Театральное искусство</t>
  </si>
  <si>
    <t>Литературное творчество</t>
  </si>
  <si>
    <t>52.09.01</t>
  </si>
  <si>
    <t>Искусство хореографии (по видам)</t>
  </si>
  <si>
    <t>52.09.02</t>
  </si>
  <si>
    <t>Актерское мастерство (по видам)</t>
  </si>
  <si>
    <t>52.09.03</t>
  </si>
  <si>
    <t>Сценическая речь</t>
  </si>
  <si>
    <t>52.09.04</t>
  </si>
  <si>
    <t>Сценическая пластика и танец</t>
  </si>
  <si>
    <t>52.09.05</t>
  </si>
  <si>
    <t>Искусство театральной режиссуры (по видам)</t>
  </si>
  <si>
    <t>52.09.06</t>
  </si>
  <si>
    <t>Сценография и театральная технология</t>
  </si>
  <si>
    <t>52.09.07</t>
  </si>
  <si>
    <t>Драматургия</t>
  </si>
  <si>
    <t>52.09.08</t>
  </si>
  <si>
    <t>Искусство словесности (по видам)</t>
  </si>
  <si>
    <t>53.00.00</t>
  </si>
  <si>
    <t>МУЗЫКАЛЬНОЕ ИСКУССТВО</t>
  </si>
  <si>
    <t>53.02.01</t>
  </si>
  <si>
    <t>Музыкальное образование</t>
  </si>
  <si>
    <t>53.02.02</t>
  </si>
  <si>
    <t>Музыкальное искусство эстрады (по видам)</t>
  </si>
  <si>
    <t>53.02.03</t>
  </si>
  <si>
    <t>Инструментальное исполнительство (по видам инструментов)</t>
  </si>
  <si>
    <t>53.02.04</t>
  </si>
  <si>
    <t>Вокальное искусство</t>
  </si>
  <si>
    <t>53.02.05</t>
  </si>
  <si>
    <t>Сольное и хоровое народное пение</t>
  </si>
  <si>
    <t>53.02.06</t>
  </si>
  <si>
    <t>Хоровое дирижирование</t>
  </si>
  <si>
    <t>53.02.07</t>
  </si>
  <si>
    <t>Теория музыки</t>
  </si>
  <si>
    <t>53.02.08</t>
  </si>
  <si>
    <t>Музыкальное звукооператорское мастерство</t>
  </si>
  <si>
    <t>53.02.09</t>
  </si>
  <si>
    <t>Театрально-декорационное искусство (по видам)</t>
  </si>
  <si>
    <t>53.03.01</t>
  </si>
  <si>
    <t>Музыкальное искусство эстрады</t>
  </si>
  <si>
    <t>53.03.02</t>
  </si>
  <si>
    <t>Музыкально-инструментальное искусство</t>
  </si>
  <si>
    <t>53.03.03</t>
  </si>
  <si>
    <t>53.03.04</t>
  </si>
  <si>
    <t>Искусство народного пения</t>
  </si>
  <si>
    <t>53.03.05</t>
  </si>
  <si>
    <t>Дирижирование</t>
  </si>
  <si>
    <t>53.03.06</t>
  </si>
  <si>
    <t>Музыкознание и музыкально-прикладное искусство</t>
  </si>
  <si>
    <t>53.04.01</t>
  </si>
  <si>
    <t>53.04.02</t>
  </si>
  <si>
    <t>53.04.03</t>
  </si>
  <si>
    <t>53.04.04</t>
  </si>
  <si>
    <t>53.04.05</t>
  </si>
  <si>
    <t>53.05.01</t>
  </si>
  <si>
    <t>Искусство концертного исполнительства</t>
  </si>
  <si>
    <t>53.05.02</t>
  </si>
  <si>
    <t>Художественное руководство симфоническим оркестром и академическим хором</t>
  </si>
  <si>
    <t>53.05.03</t>
  </si>
  <si>
    <t>Музыкальная звукорежиссура</t>
  </si>
  <si>
    <t>53.05.04</t>
  </si>
  <si>
    <t>Музыкально-театральное искусство</t>
  </si>
  <si>
    <t>53.05.05</t>
  </si>
  <si>
    <t>Музыковедение</t>
  </si>
  <si>
    <t>53.05.06</t>
  </si>
  <si>
    <t>Композиция</t>
  </si>
  <si>
    <t>53.09.01</t>
  </si>
  <si>
    <t>Искусство музыкально-инструментального
исполнительства (по видам)</t>
  </si>
  <si>
    <t>53.09.02</t>
  </si>
  <si>
    <t>Искусство вокального исполнительства (по видам)</t>
  </si>
  <si>
    <t>53.09.03</t>
  </si>
  <si>
    <t>Искусство композиции</t>
  </si>
  <si>
    <t>53.09.04</t>
  </si>
  <si>
    <t>Мастерство музыкальной звукорежиссуры</t>
  </si>
  <si>
    <t>53.09.05</t>
  </si>
  <si>
    <t>Искусство дирижирования (по видам)</t>
  </si>
  <si>
    <t>54.00.00</t>
  </si>
  <si>
    <t>ИЗОБРАЗИТЕЛЬНОЕ И ПРИКЛАДНЫЕ ВИДЫ ИСКУССТВ</t>
  </si>
  <si>
    <t>54.01.01</t>
  </si>
  <si>
    <t>Исполнитель художественно-оформительских работ</t>
  </si>
  <si>
    <t>54.01.02</t>
  </si>
  <si>
    <t>Ювелир</t>
  </si>
  <si>
    <t>54.01.05</t>
  </si>
  <si>
    <t>Изготовитель художественных изделий из тканей с художественной росписью</t>
  </si>
  <si>
    <t>54.01.06</t>
  </si>
  <si>
    <t>Изготовитель художественных изделий из металла</t>
  </si>
  <si>
    <t>54.01.08</t>
  </si>
  <si>
    <t>Художник декоративной росписи по металлу</t>
  </si>
  <si>
    <t>54.01.09</t>
  </si>
  <si>
    <t>Художник росписи по эмали</t>
  </si>
  <si>
    <t>54.01.12</t>
  </si>
  <si>
    <t>Художник миниатюрной живописи</t>
  </si>
  <si>
    <t>54.01.13</t>
  </si>
  <si>
    <t>Изготовитель художественных изделий из дерева</t>
  </si>
  <si>
    <t>54.01.14</t>
  </si>
  <si>
    <t>Резчик</t>
  </si>
  <si>
    <t>54.01.15</t>
  </si>
  <si>
    <t>Инкрустатор</t>
  </si>
  <si>
    <t>54.01.16</t>
  </si>
  <si>
    <t>Лепщик-модельщик архитектурных деталей</t>
  </si>
  <si>
    <t>54.01.17</t>
  </si>
  <si>
    <t>Реставратор строительный</t>
  </si>
  <si>
    <t>54.01.18</t>
  </si>
  <si>
    <t>Реставратор тканей, гобеленов и ковров</t>
  </si>
  <si>
    <t>54.01.19</t>
  </si>
  <si>
    <t>Реставратор памятников каменного и деревянного зодчества</t>
  </si>
  <si>
    <t>54.01.20</t>
  </si>
  <si>
    <t>Графический дизайнер</t>
  </si>
  <si>
    <t>54.02.01</t>
  </si>
  <si>
    <t>Дизайн (по отраслям)</t>
  </si>
  <si>
    <t>Декоративно-прикладное искусство и народные промыслы (по видам)</t>
  </si>
  <si>
    <t>54.02.03</t>
  </si>
  <si>
    <t>Художественное оформление изделий текстильной и легкой промышленности</t>
  </si>
  <si>
    <t>54.02.04</t>
  </si>
  <si>
    <t>Реставрация</t>
  </si>
  <si>
    <t>54.02.05</t>
  </si>
  <si>
    <t>Живопись (по видам)</t>
  </si>
  <si>
    <t>54.02.06</t>
  </si>
  <si>
    <t>Изобразительное искусство и черчение</t>
  </si>
  <si>
    <t>54.02.07</t>
  </si>
  <si>
    <t>Скульптура</t>
  </si>
  <si>
    <t>54.02.08</t>
  </si>
  <si>
    <t>Техника и искусство фотографии</t>
  </si>
  <si>
    <t>54.03.01</t>
  </si>
  <si>
    <t>Дизайн</t>
  </si>
  <si>
    <t>54.03.02</t>
  </si>
  <si>
    <t>Декоративно-прикладное искусство и народные промыслы</t>
  </si>
  <si>
    <t>54.03.03</t>
  </si>
  <si>
    <t>Искусство костюма и текстиля</t>
  </si>
  <si>
    <t>54.03.04</t>
  </si>
  <si>
    <t>54.04.02</t>
  </si>
  <si>
    <t>54.04.03</t>
  </si>
  <si>
    <t>54.04.04</t>
  </si>
  <si>
    <t>54.05.05</t>
  </si>
  <si>
    <t>Живопись и изящные искусства</t>
  </si>
  <si>
    <t>54.09.01</t>
  </si>
  <si>
    <t>Монументально-декоративное мастерство</t>
  </si>
  <si>
    <t>54.09.02</t>
  </si>
  <si>
    <t>Мастерство декоративно-прикладного искусства и народных промыслов (по видам)</t>
  </si>
  <si>
    <t>54.09.03</t>
  </si>
  <si>
    <t>Искусство дизайна (по видам)</t>
  </si>
  <si>
    <t>54.09.04</t>
  </si>
  <si>
    <t>Искусство живописи (по видам)</t>
  </si>
  <si>
    <t>54.09.05</t>
  </si>
  <si>
    <t>Искусство графики (по видам)</t>
  </si>
  <si>
    <t>54.09.06</t>
  </si>
  <si>
    <t>Искусство скульптуры</t>
  </si>
  <si>
    <t>54.09.07</t>
  </si>
  <si>
    <t>Искусство реставрации (по видам)</t>
  </si>
  <si>
    <t>55.00.00</t>
  </si>
  <si>
    <t>ЭКРАННЫЕ ИСКУССТВА</t>
  </si>
  <si>
    <t>55.02.02</t>
  </si>
  <si>
    <t>Анимация и анимационное кино (по видам)</t>
  </si>
  <si>
    <t>55.05.05</t>
  </si>
  <si>
    <t>Киноведение</t>
  </si>
  <si>
    <t>55.09.01</t>
  </si>
  <si>
    <t>Режиссура аудиовизуальных искусств (по видам)</t>
  </si>
  <si>
    <t>55.09.02</t>
  </si>
  <si>
    <t>Операторское искусство (по видам)</t>
  </si>
  <si>
    <t>55.09.03</t>
  </si>
  <si>
    <t>Звукорежиссура аудиовизуальных искусств</t>
  </si>
  <si>
    <t>56.00.00</t>
  </si>
  <si>
    <t>ОБОРОНА И БЕЗОПАСНОСТЬ ГОСУДАРСТВА. ВОЕННЫЕ НАУКИ</t>
  </si>
  <si>
    <t>56.05.05</t>
  </si>
  <si>
    <t>Военная журналистика</t>
  </si>
</sst>
</file>

<file path=xl/styles.xml><?xml version="1.0" encoding="utf-8"?>
<styleSheet xmlns="http://schemas.openxmlformats.org/spreadsheetml/2006/main">
  <numFmts count="1">
    <numFmt numFmtId="164" formatCode="[=0]&quot;&quot;;General"/>
  </numFmts>
  <fonts count="12">
    <font>
      <sz val="8"/>
      <name val="Arial"/>
    </font>
    <font>
      <b/>
      <sz val="11"/>
      <color rgb="FF000000"/>
      <name val="Calibri"/>
      <charset val="204"/>
    </font>
    <font>
      <b/>
      <sz val="16"/>
      <color rgb="FF000000"/>
      <name val="Calibri"/>
      <charset val="204"/>
    </font>
    <font>
      <b/>
      <u/>
      <sz val="11"/>
      <color rgb="FF000000"/>
      <name val="Calibri"/>
      <charset val="204"/>
    </font>
    <font>
      <sz val="11"/>
      <color rgb="FF000000"/>
      <name val="Calibri"/>
      <charset val="204"/>
    </font>
    <font>
      <u/>
      <sz val="11"/>
      <color rgb="FF0000FF"/>
      <name val="Calibri"/>
      <charset val="204"/>
    </font>
    <font>
      <sz val="8"/>
      <color rgb="FF000000"/>
      <name val="Arial"/>
      <charset val="204"/>
    </font>
    <font>
      <b/>
      <sz val="8"/>
      <color rgb="FF000000"/>
      <name val="Arial"/>
      <charset val="204"/>
    </font>
    <font>
      <u/>
      <sz val="8"/>
      <color rgb="FF0000FF"/>
      <name val="Calibri"/>
      <charset val="204"/>
    </font>
    <font>
      <b/>
      <sz val="12"/>
      <name val="Arial"/>
      <family val="2"/>
    </font>
    <font>
      <sz val="10"/>
      <name val="Arial"/>
      <family val="2"/>
    </font>
    <font>
      <u/>
      <sz val="8"/>
      <color theme="10"/>
      <name val="Arial"/>
    </font>
  </fonts>
  <fills count="3">
    <fill>
      <patternFill patternType="none"/>
    </fill>
    <fill>
      <patternFill patternType="gray125"/>
    </fill>
    <fill>
      <patternFill patternType="solid">
        <fgColor rgb="FFFAFAD2"/>
        <bgColor auto="1"/>
      </patternFill>
    </fill>
  </fills>
  <borders count="5">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hair">
        <color rgb="FF000000"/>
      </left>
      <right style="hair">
        <color rgb="FF000000"/>
      </right>
      <top style="hair">
        <color rgb="FF000000"/>
      </top>
      <bottom style="hair">
        <color rgb="FF000000"/>
      </bottom>
      <diagonal/>
    </border>
  </borders>
  <cellStyleXfs count="2">
    <xf numFmtId="0" fontId="0" fillId="0" borderId="0"/>
    <xf numFmtId="0" fontId="11" fillId="0" borderId="0" applyNumberFormat="0" applyFill="0" applyBorder="0" applyAlignment="0" applyProtection="0">
      <alignment vertical="top"/>
      <protection locked="0"/>
    </xf>
  </cellStyleXfs>
  <cellXfs count="29">
    <xf numFmtId="0" fontId="0" fillId="0" borderId="0" xfId="0"/>
    <xf numFmtId="0" fontId="0" fillId="0" borderId="0" xfId="0" applyAlignment="1">
      <alignment horizontal="left" wrapText="1"/>
    </xf>
    <xf numFmtId="0" fontId="6" fillId="0" borderId="0" xfId="0" applyFont="1" applyAlignment="1">
      <alignment horizontal="center" vertical="center" wrapText="1"/>
    </xf>
    <xf numFmtId="0" fontId="6" fillId="0" borderId="3" xfId="0" applyFont="1" applyBorder="1" applyAlignment="1">
      <alignment horizontal="center" vertical="center" wrapText="1"/>
    </xf>
    <xf numFmtId="0" fontId="6" fillId="0" borderId="0" xfId="0" applyFont="1" applyAlignment="1">
      <alignment horizontal="left" vertical="center" wrapText="1"/>
    </xf>
    <xf numFmtId="164" fontId="6" fillId="0" borderId="4" xfId="0" applyNumberFormat="1" applyFont="1" applyBorder="1" applyAlignment="1">
      <alignment horizontal="right" vertical="center" wrapText="1"/>
    </xf>
    <xf numFmtId="0" fontId="6" fillId="0" borderId="4" xfId="0" applyFont="1" applyBorder="1" applyAlignment="1">
      <alignment horizontal="center" vertical="center" wrapText="1"/>
    </xf>
    <xf numFmtId="4" fontId="7" fillId="0" borderId="4" xfId="0" applyNumberFormat="1" applyFont="1" applyBorder="1" applyAlignment="1">
      <alignment horizontal="right" vertical="center" wrapText="1"/>
    </xf>
    <xf numFmtId="0" fontId="6" fillId="0" borderId="4" xfId="0" applyFont="1" applyBorder="1" applyAlignment="1">
      <alignment horizontal="left" vertical="center" wrapText="1"/>
    </xf>
    <xf numFmtId="1" fontId="6" fillId="0" borderId="4" xfId="0" applyNumberFormat="1" applyFont="1" applyBorder="1" applyAlignment="1">
      <alignment horizontal="center" vertical="center" wrapText="1"/>
    </xf>
    <xf numFmtId="0" fontId="6" fillId="0" borderId="4" xfId="0" applyFont="1" applyBorder="1" applyAlignment="1">
      <alignment horizontal="center" vertical="top" wrapText="1"/>
    </xf>
    <xf numFmtId="0" fontId="6" fillId="0" borderId="4" xfId="0" applyFont="1" applyBorder="1" applyAlignment="1">
      <alignment horizontal="left" vertical="top" wrapText="1"/>
    </xf>
    <xf numFmtId="0" fontId="8" fillId="0" borderId="4" xfId="0" applyFont="1" applyBorder="1" applyAlignment="1">
      <alignment horizontal="center" vertical="center" wrapText="1"/>
    </xf>
    <xf numFmtId="2" fontId="7" fillId="0" borderId="4" xfId="0" applyNumberFormat="1" applyFont="1" applyBorder="1" applyAlignment="1">
      <alignment horizontal="right" vertical="center" wrapText="1"/>
    </xf>
    <xf numFmtId="164" fontId="6" fillId="0" borderId="4" xfId="0" applyNumberFormat="1" applyFont="1" applyBorder="1" applyAlignment="1">
      <alignment horizontal="center" vertical="center" wrapText="1"/>
    </xf>
    <xf numFmtId="0" fontId="0" fillId="0" borderId="0" xfId="0" applyAlignment="1">
      <alignment horizontal="left"/>
    </xf>
    <xf numFmtId="0" fontId="10" fillId="0" borderId="0" xfId="0" applyFont="1" applyAlignment="1">
      <alignment horizontal="left"/>
    </xf>
    <xf numFmtId="0" fontId="1" fillId="0" borderId="1" xfId="0" applyFont="1" applyBorder="1" applyAlignment="1">
      <alignment horizontal="left" wrapText="1"/>
    </xf>
    <xf numFmtId="0" fontId="2" fillId="0" borderId="2" xfId="0" applyFont="1" applyBorder="1" applyAlignment="1">
      <alignment horizontal="center" vertical="top" wrapText="1"/>
    </xf>
    <xf numFmtId="0" fontId="2" fillId="0" borderId="0" xfId="0" applyFont="1" applyAlignment="1">
      <alignment horizontal="center" vertical="top" wrapText="1"/>
    </xf>
    <xf numFmtId="0" fontId="3" fillId="2" borderId="1" xfId="0" applyFont="1" applyFill="1" applyBorder="1" applyAlignment="1">
      <alignment horizontal="left" vertical="top" wrapText="1"/>
    </xf>
    <xf numFmtId="0" fontId="4" fillId="0" borderId="1" xfId="0" applyFont="1" applyBorder="1" applyAlignment="1">
      <alignment horizontal="left" wrapText="1"/>
    </xf>
    <xf numFmtId="0" fontId="1" fillId="2" borderId="2" xfId="0" applyFont="1" applyFill="1" applyBorder="1" applyAlignment="1">
      <alignment horizontal="left" vertical="top" wrapText="1"/>
    </xf>
    <xf numFmtId="0" fontId="1" fillId="2" borderId="0" xfId="0" applyFont="1" applyFill="1" applyAlignment="1">
      <alignment horizontal="left" vertical="top" wrapText="1"/>
    </xf>
    <xf numFmtId="0" fontId="5" fillId="0" borderId="1" xfId="0" applyFont="1" applyBorder="1" applyAlignment="1">
      <alignment horizontal="left" wrapText="1"/>
    </xf>
    <xf numFmtId="0" fontId="9" fillId="0" borderId="0" xfId="0" applyFont="1" applyAlignment="1">
      <alignment horizontal="left" wrapText="1"/>
    </xf>
    <xf numFmtId="0" fontId="10" fillId="0" borderId="0" xfId="0" applyFont="1" applyAlignment="1">
      <alignment horizontal="left" wrapText="1"/>
    </xf>
    <xf numFmtId="0" fontId="11" fillId="0" borderId="1" xfId="1" applyBorder="1" applyAlignment="1" applyProtection="1">
      <alignment horizontal="left" wrapText="1"/>
    </xf>
    <xf numFmtId="0" fontId="11" fillId="0" borderId="4" xfId="1" applyBorder="1" applyAlignment="1" applyProtection="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autoPageBreaks="0"/>
  </sheetPr>
  <dimension ref="A1:AA2090"/>
  <sheetViews>
    <sheetView tabSelected="1" workbookViewId="0">
      <selection sqref="A1:E1"/>
    </sheetView>
  </sheetViews>
  <sheetFormatPr defaultColWidth="10.5" defaultRowHeight="11.45" customHeight="1"/>
  <cols>
    <col min="1" max="1" width="5.83203125" style="1" customWidth="1"/>
    <col min="2" max="2" width="13.83203125" style="1" customWidth="1"/>
    <col min="3" max="3" width="10.5" style="1" customWidth="1"/>
    <col min="4" max="4" width="53.5" style="1" customWidth="1"/>
    <col min="5" max="5" width="52.6640625" style="1" customWidth="1"/>
    <col min="6" max="6" width="21" style="1" customWidth="1"/>
    <col min="7" max="7" width="13" style="1" customWidth="1"/>
    <col min="8" max="8" width="19.33203125" style="1" customWidth="1"/>
    <col min="9" max="9" width="33.6640625" style="1" customWidth="1"/>
    <col min="10" max="10" width="6.33203125" style="1" customWidth="1"/>
    <col min="11" max="11" width="8.5" style="1" customWidth="1"/>
    <col min="12" max="12" width="8.1640625" style="1" customWidth="1"/>
    <col min="13" max="13" width="21.1640625" style="1" customWidth="1"/>
    <col min="14" max="14" width="43.5" style="1" customWidth="1"/>
    <col min="15" max="15" width="35.5" style="1" customWidth="1"/>
    <col min="16" max="16" width="34" style="1" customWidth="1"/>
    <col min="17" max="17" width="38.1640625" style="1" customWidth="1"/>
    <col min="18" max="19" width="10.5" style="1" customWidth="1"/>
    <col min="20" max="20" width="15.33203125" style="1" customWidth="1"/>
    <col min="21" max="21" width="15.1640625" style="1" customWidth="1"/>
    <col min="22" max="22" width="20.33203125" style="1" customWidth="1"/>
    <col min="23" max="23" width="55.83203125" style="1" customWidth="1"/>
    <col min="24" max="27" width="10.5" style="1" customWidth="1"/>
  </cols>
  <sheetData>
    <row r="1" spans="1:27" s="1" customFormat="1" ht="15" customHeight="1">
      <c r="A1" s="17" t="s">
        <v>0</v>
      </c>
      <c r="B1" s="17"/>
      <c r="C1" s="17"/>
      <c r="D1" s="17"/>
      <c r="E1" s="17"/>
      <c r="F1" s="18" t="s">
        <v>1</v>
      </c>
      <c r="G1" s="18"/>
      <c r="H1" s="18"/>
      <c r="I1" s="18"/>
      <c r="J1" s="20" t="s">
        <v>2</v>
      </c>
      <c r="K1" s="20"/>
      <c r="L1" s="20"/>
      <c r="M1" s="20"/>
      <c r="N1" s="20"/>
      <c r="O1" s="20"/>
    </row>
    <row r="2" spans="1:27" s="1" customFormat="1" ht="15" customHeight="1">
      <c r="A2" s="21" t="s">
        <v>3</v>
      </c>
      <c r="B2" s="21"/>
      <c r="C2" s="21"/>
      <c r="D2" s="21"/>
      <c r="E2" s="21"/>
      <c r="F2" s="19"/>
      <c r="G2" s="19"/>
      <c r="H2" s="19"/>
      <c r="I2" s="19"/>
      <c r="J2" s="22" t="s">
        <v>4</v>
      </c>
      <c r="K2" s="22"/>
      <c r="L2" s="22"/>
      <c r="M2" s="22"/>
      <c r="N2" s="22"/>
      <c r="O2" s="22"/>
    </row>
    <row r="3" spans="1:27" s="1" customFormat="1" ht="15" customHeight="1">
      <c r="A3" s="21" t="s">
        <v>5</v>
      </c>
      <c r="B3" s="21"/>
      <c r="C3" s="21"/>
      <c r="D3" s="21"/>
      <c r="E3" s="21"/>
      <c r="F3" s="19"/>
      <c r="G3" s="19"/>
      <c r="H3" s="19"/>
      <c r="I3" s="19"/>
      <c r="J3" s="23"/>
      <c r="K3" s="23"/>
      <c r="L3" s="23"/>
      <c r="M3" s="23"/>
      <c r="N3" s="23"/>
      <c r="O3" s="23"/>
    </row>
    <row r="4" spans="1:27" s="1" customFormat="1" ht="15" customHeight="1">
      <c r="A4" s="27" t="str">
        <f>HYPERLINK("mailto:books@infra-m.ru", "mailto:books@infra-m.ru")</f>
        <v>mailto:books@infra-m.ru</v>
      </c>
      <c r="B4" s="24"/>
      <c r="C4" s="24"/>
      <c r="D4" s="24"/>
      <c r="E4" s="24"/>
      <c r="F4" s="19"/>
      <c r="G4" s="19"/>
      <c r="H4" s="19"/>
      <c r="I4" s="19"/>
      <c r="J4" s="23"/>
      <c r="K4" s="23"/>
      <c r="L4" s="23"/>
      <c r="M4" s="23"/>
      <c r="N4" s="23"/>
      <c r="O4" s="23"/>
    </row>
    <row r="5" spans="1:27" s="1" customFormat="1" ht="15" customHeight="1">
      <c r="A5" s="27" t="str">
        <f>HYPERLINK("https://infra-m.ru", "https://infra-m.ru")</f>
        <v>https://infra-m.ru</v>
      </c>
      <c r="B5" s="24"/>
      <c r="C5" s="24"/>
      <c r="D5" s="24"/>
      <c r="E5" s="24"/>
      <c r="F5" s="19"/>
      <c r="G5" s="19"/>
      <c r="H5" s="19"/>
      <c r="I5" s="19"/>
      <c r="J5" s="23"/>
      <c r="K5" s="23"/>
      <c r="L5" s="23"/>
      <c r="M5" s="23"/>
      <c r="N5" s="23"/>
      <c r="O5" s="23"/>
    </row>
    <row r="6" spans="1:27" s="1" customFormat="1" ht="11.1" customHeight="1"/>
    <row r="7" spans="1:27" s="2" customFormat="1" ht="21.95" customHeight="1">
      <c r="A7" s="3" t="s">
        <v>6</v>
      </c>
      <c r="B7" s="3" t="s">
        <v>7</v>
      </c>
      <c r="C7" s="3" t="s">
        <v>8</v>
      </c>
      <c r="D7" s="3" t="s">
        <v>9</v>
      </c>
      <c r="E7" s="3" t="s">
        <v>10</v>
      </c>
      <c r="F7" s="3" t="s">
        <v>11</v>
      </c>
      <c r="G7" s="3" t="s">
        <v>12</v>
      </c>
      <c r="H7" s="3" t="s">
        <v>13</v>
      </c>
      <c r="I7" s="3" t="s">
        <v>14</v>
      </c>
      <c r="J7" s="3" t="s">
        <v>15</v>
      </c>
      <c r="K7" s="3" t="s">
        <v>16</v>
      </c>
      <c r="L7" s="3" t="s">
        <v>17</v>
      </c>
      <c r="M7" s="3" t="s">
        <v>18</v>
      </c>
      <c r="N7" s="3" t="s">
        <v>19</v>
      </c>
      <c r="O7" s="3" t="s">
        <v>20</v>
      </c>
      <c r="P7" s="3" t="s">
        <v>21</v>
      </c>
      <c r="Q7" s="3" t="s">
        <v>22</v>
      </c>
      <c r="R7" s="3" t="s">
        <v>23</v>
      </c>
      <c r="S7" s="3" t="s">
        <v>24</v>
      </c>
      <c r="T7" s="3" t="s">
        <v>25</v>
      </c>
      <c r="U7" s="3" t="s">
        <v>26</v>
      </c>
      <c r="V7" s="3" t="s">
        <v>27</v>
      </c>
      <c r="W7" s="3" t="s">
        <v>28</v>
      </c>
      <c r="X7" s="3" t="s">
        <v>29</v>
      </c>
      <c r="Y7" s="3" t="s">
        <v>30</v>
      </c>
      <c r="Z7" s="3" t="s">
        <v>31</v>
      </c>
      <c r="AA7" s="3" t="s">
        <v>32</v>
      </c>
    </row>
    <row r="8" spans="1:27" s="4" customFormat="1" ht="42" customHeight="1">
      <c r="A8" s="5">
        <v>0</v>
      </c>
      <c r="B8" s="6" t="s">
        <v>33</v>
      </c>
      <c r="C8" s="7">
        <v>1490</v>
      </c>
      <c r="D8" s="8" t="s">
        <v>34</v>
      </c>
      <c r="E8" s="8" t="s">
        <v>35</v>
      </c>
      <c r="F8" s="8" t="s">
        <v>36</v>
      </c>
      <c r="G8" s="6" t="s">
        <v>37</v>
      </c>
      <c r="H8" s="6" t="s">
        <v>38</v>
      </c>
      <c r="I8" s="8" t="s">
        <v>39</v>
      </c>
      <c r="J8" s="9">
        <v>1</v>
      </c>
      <c r="K8" s="9">
        <v>391</v>
      </c>
      <c r="L8" s="9">
        <v>2022</v>
      </c>
      <c r="M8" s="8" t="s">
        <v>40</v>
      </c>
      <c r="N8" s="8" t="s">
        <v>41</v>
      </c>
      <c r="O8" s="8" t="s">
        <v>42</v>
      </c>
      <c r="P8" s="6" t="s">
        <v>43</v>
      </c>
      <c r="Q8" s="8" t="s">
        <v>44</v>
      </c>
      <c r="R8" s="10" t="s">
        <v>45</v>
      </c>
      <c r="S8" s="11"/>
      <c r="T8" s="6"/>
      <c r="U8" s="28" t="str">
        <f>HYPERLINK("https://media.infra-m.ru/1861/1861000/cover/1861000.jpg", "Обложка")</f>
        <v>Обложка</v>
      </c>
      <c r="V8" s="28" t="str">
        <f>HYPERLINK("https://znanium.ru/catalog/product/1861000", "Ознакомиться")</f>
        <v>Ознакомиться</v>
      </c>
      <c r="W8" s="8" t="s">
        <v>46</v>
      </c>
      <c r="X8" s="6"/>
      <c r="Y8" s="6"/>
      <c r="Z8" s="6"/>
      <c r="AA8" s="6" t="s">
        <v>47</v>
      </c>
    </row>
    <row r="9" spans="1:27" s="4" customFormat="1" ht="42" customHeight="1">
      <c r="A9" s="5">
        <v>0</v>
      </c>
      <c r="B9" s="6" t="s">
        <v>48</v>
      </c>
      <c r="C9" s="13">
        <v>767</v>
      </c>
      <c r="D9" s="8" t="s">
        <v>49</v>
      </c>
      <c r="E9" s="8" t="s">
        <v>50</v>
      </c>
      <c r="F9" s="8" t="s">
        <v>51</v>
      </c>
      <c r="G9" s="6" t="s">
        <v>37</v>
      </c>
      <c r="H9" s="6" t="s">
        <v>52</v>
      </c>
      <c r="I9" s="8"/>
      <c r="J9" s="9">
        <v>1</v>
      </c>
      <c r="K9" s="9">
        <v>128</v>
      </c>
      <c r="L9" s="9">
        <v>2023</v>
      </c>
      <c r="M9" s="8" t="s">
        <v>53</v>
      </c>
      <c r="N9" s="8" t="s">
        <v>41</v>
      </c>
      <c r="O9" s="8" t="s">
        <v>54</v>
      </c>
      <c r="P9" s="6" t="s">
        <v>55</v>
      </c>
      <c r="Q9" s="8" t="s">
        <v>56</v>
      </c>
      <c r="R9" s="10" t="s">
        <v>57</v>
      </c>
      <c r="S9" s="11"/>
      <c r="T9" s="6"/>
      <c r="U9" s="28" t="str">
        <f>HYPERLINK("https://media.infra-m.ru/1917/1917658/cover/1917658.jpg", "Обложка")</f>
        <v>Обложка</v>
      </c>
      <c r="V9" s="12"/>
      <c r="W9" s="8" t="s">
        <v>58</v>
      </c>
      <c r="X9" s="6"/>
      <c r="Y9" s="6"/>
      <c r="Z9" s="6"/>
      <c r="AA9" s="6" t="s">
        <v>59</v>
      </c>
    </row>
    <row r="10" spans="1:27" s="4" customFormat="1" ht="44.1" customHeight="1">
      <c r="A10" s="5">
        <v>0</v>
      </c>
      <c r="B10" s="6" t="s">
        <v>60</v>
      </c>
      <c r="C10" s="13">
        <v>500</v>
      </c>
      <c r="D10" s="8" t="s">
        <v>61</v>
      </c>
      <c r="E10" s="8" t="s">
        <v>62</v>
      </c>
      <c r="F10" s="8" t="s">
        <v>63</v>
      </c>
      <c r="G10" s="6" t="s">
        <v>37</v>
      </c>
      <c r="H10" s="6" t="s">
        <v>38</v>
      </c>
      <c r="I10" s="8" t="s">
        <v>39</v>
      </c>
      <c r="J10" s="9">
        <v>1</v>
      </c>
      <c r="K10" s="9">
        <v>100</v>
      </c>
      <c r="L10" s="9">
        <v>2023</v>
      </c>
      <c r="M10" s="8" t="s">
        <v>64</v>
      </c>
      <c r="N10" s="8" t="s">
        <v>41</v>
      </c>
      <c r="O10" s="8" t="s">
        <v>65</v>
      </c>
      <c r="P10" s="6" t="s">
        <v>43</v>
      </c>
      <c r="Q10" s="8" t="s">
        <v>44</v>
      </c>
      <c r="R10" s="10" t="s">
        <v>66</v>
      </c>
      <c r="S10" s="11"/>
      <c r="T10" s="6"/>
      <c r="U10" s="28" t="str">
        <f>HYPERLINK("https://media.infra-m.ru/1915/1915335/cover/1915335.jpg", "Обложка")</f>
        <v>Обложка</v>
      </c>
      <c r="V10" s="28" t="str">
        <f>HYPERLINK("https://znanium.ru/catalog/product/1915335", "Ознакомиться")</f>
        <v>Ознакомиться</v>
      </c>
      <c r="W10" s="8" t="s">
        <v>67</v>
      </c>
      <c r="X10" s="6"/>
      <c r="Y10" s="6"/>
      <c r="Z10" s="6"/>
      <c r="AA10" s="6" t="s">
        <v>68</v>
      </c>
    </row>
    <row r="11" spans="1:27" s="4" customFormat="1" ht="42" customHeight="1">
      <c r="A11" s="5">
        <v>0</v>
      </c>
      <c r="B11" s="6" t="s">
        <v>69</v>
      </c>
      <c r="C11" s="13">
        <v>580</v>
      </c>
      <c r="D11" s="8" t="s">
        <v>70</v>
      </c>
      <c r="E11" s="8" t="s">
        <v>71</v>
      </c>
      <c r="F11" s="8" t="s">
        <v>72</v>
      </c>
      <c r="G11" s="6" t="s">
        <v>37</v>
      </c>
      <c r="H11" s="6" t="s">
        <v>38</v>
      </c>
      <c r="I11" s="8" t="s">
        <v>39</v>
      </c>
      <c r="J11" s="9">
        <v>1</v>
      </c>
      <c r="K11" s="9">
        <v>156</v>
      </c>
      <c r="L11" s="9">
        <v>2021</v>
      </c>
      <c r="M11" s="8" t="s">
        <v>73</v>
      </c>
      <c r="N11" s="8" t="s">
        <v>74</v>
      </c>
      <c r="O11" s="8" t="s">
        <v>75</v>
      </c>
      <c r="P11" s="6" t="s">
        <v>43</v>
      </c>
      <c r="Q11" s="8" t="s">
        <v>44</v>
      </c>
      <c r="R11" s="10" t="s">
        <v>76</v>
      </c>
      <c r="S11" s="11"/>
      <c r="T11" s="6"/>
      <c r="U11" s="28" t="str">
        <f>HYPERLINK("https://media.infra-m.ru/1253/1253469/cover/1253469.jpg", "Обложка")</f>
        <v>Обложка</v>
      </c>
      <c r="V11" s="28" t="str">
        <f>HYPERLINK("https://znanium.ru/catalog/product/1253469", "Ознакомиться")</f>
        <v>Ознакомиться</v>
      </c>
      <c r="W11" s="8" t="s">
        <v>77</v>
      </c>
      <c r="X11" s="6"/>
      <c r="Y11" s="6"/>
      <c r="Z11" s="6"/>
      <c r="AA11" s="6" t="s">
        <v>78</v>
      </c>
    </row>
    <row r="12" spans="1:27" s="4" customFormat="1" ht="51.95" customHeight="1">
      <c r="A12" s="5">
        <v>0</v>
      </c>
      <c r="B12" s="6" t="s">
        <v>79</v>
      </c>
      <c r="C12" s="7">
        <v>1434</v>
      </c>
      <c r="D12" s="8" t="s">
        <v>80</v>
      </c>
      <c r="E12" s="8" t="s">
        <v>81</v>
      </c>
      <c r="F12" s="8" t="s">
        <v>82</v>
      </c>
      <c r="G12" s="6" t="s">
        <v>83</v>
      </c>
      <c r="H12" s="6" t="s">
        <v>38</v>
      </c>
      <c r="I12" s="8" t="s">
        <v>84</v>
      </c>
      <c r="J12" s="9">
        <v>1</v>
      </c>
      <c r="K12" s="9">
        <v>311</v>
      </c>
      <c r="L12" s="9">
        <v>2024</v>
      </c>
      <c r="M12" s="8" t="s">
        <v>85</v>
      </c>
      <c r="N12" s="8" t="s">
        <v>74</v>
      </c>
      <c r="O12" s="8" t="s">
        <v>75</v>
      </c>
      <c r="P12" s="6" t="s">
        <v>43</v>
      </c>
      <c r="Q12" s="8" t="s">
        <v>44</v>
      </c>
      <c r="R12" s="10" t="s">
        <v>86</v>
      </c>
      <c r="S12" s="11"/>
      <c r="T12" s="6"/>
      <c r="U12" s="28" t="str">
        <f>HYPERLINK("https://media.infra-m.ru/2090/2090697/cover/2090697.jpg", "Обложка")</f>
        <v>Обложка</v>
      </c>
      <c r="V12" s="28" t="str">
        <f>HYPERLINK("https://znanium.ru/catalog/product/2021467", "Ознакомиться")</f>
        <v>Ознакомиться</v>
      </c>
      <c r="W12" s="8" t="s">
        <v>87</v>
      </c>
      <c r="X12" s="6"/>
      <c r="Y12" s="6"/>
      <c r="Z12" s="6"/>
      <c r="AA12" s="6" t="s">
        <v>78</v>
      </c>
    </row>
    <row r="13" spans="1:27" s="4" customFormat="1" ht="51.95" customHeight="1">
      <c r="A13" s="5">
        <v>0</v>
      </c>
      <c r="B13" s="6" t="s">
        <v>88</v>
      </c>
      <c r="C13" s="7">
        <v>1484.9</v>
      </c>
      <c r="D13" s="8" t="s">
        <v>89</v>
      </c>
      <c r="E13" s="8" t="s">
        <v>90</v>
      </c>
      <c r="F13" s="8" t="s">
        <v>91</v>
      </c>
      <c r="G13" s="6" t="s">
        <v>83</v>
      </c>
      <c r="H13" s="6" t="s">
        <v>38</v>
      </c>
      <c r="I13" s="8" t="s">
        <v>39</v>
      </c>
      <c r="J13" s="9">
        <v>1</v>
      </c>
      <c r="K13" s="9">
        <v>382</v>
      </c>
      <c r="L13" s="9">
        <v>2022</v>
      </c>
      <c r="M13" s="8" t="s">
        <v>92</v>
      </c>
      <c r="N13" s="8" t="s">
        <v>74</v>
      </c>
      <c r="O13" s="8" t="s">
        <v>93</v>
      </c>
      <c r="P13" s="6" t="s">
        <v>43</v>
      </c>
      <c r="Q13" s="8" t="s">
        <v>44</v>
      </c>
      <c r="R13" s="10" t="s">
        <v>94</v>
      </c>
      <c r="S13" s="11"/>
      <c r="T13" s="6"/>
      <c r="U13" s="28" t="str">
        <f>HYPERLINK("https://media.infra-m.ru/1841/1841680/cover/1841680.jpg", "Обложка")</f>
        <v>Обложка</v>
      </c>
      <c r="V13" s="28" t="str">
        <f>HYPERLINK("https://znanium.ru/catalog/product/1841680", "Ознакомиться")</f>
        <v>Ознакомиться</v>
      </c>
      <c r="W13" s="8" t="s">
        <v>95</v>
      </c>
      <c r="X13" s="6"/>
      <c r="Y13" s="6"/>
      <c r="Z13" s="6"/>
      <c r="AA13" s="6" t="s">
        <v>96</v>
      </c>
    </row>
    <row r="14" spans="1:27" s="4" customFormat="1" ht="44.1" customHeight="1">
      <c r="A14" s="5">
        <v>0</v>
      </c>
      <c r="B14" s="6" t="s">
        <v>97</v>
      </c>
      <c r="C14" s="7">
        <v>1090</v>
      </c>
      <c r="D14" s="8" t="s">
        <v>98</v>
      </c>
      <c r="E14" s="8" t="s">
        <v>99</v>
      </c>
      <c r="F14" s="8" t="s">
        <v>100</v>
      </c>
      <c r="G14" s="6" t="s">
        <v>37</v>
      </c>
      <c r="H14" s="6" t="s">
        <v>38</v>
      </c>
      <c r="I14" s="8" t="s">
        <v>39</v>
      </c>
      <c r="J14" s="9">
        <v>1</v>
      </c>
      <c r="K14" s="9">
        <v>235</v>
      </c>
      <c r="L14" s="9">
        <v>2024</v>
      </c>
      <c r="M14" s="8" t="s">
        <v>101</v>
      </c>
      <c r="N14" s="8" t="s">
        <v>74</v>
      </c>
      <c r="O14" s="8" t="s">
        <v>75</v>
      </c>
      <c r="P14" s="6" t="s">
        <v>43</v>
      </c>
      <c r="Q14" s="8" t="s">
        <v>44</v>
      </c>
      <c r="R14" s="10" t="s">
        <v>102</v>
      </c>
      <c r="S14" s="11"/>
      <c r="T14" s="6"/>
      <c r="U14" s="28" t="str">
        <f>HYPERLINK("https://media.infra-m.ru/2110/2110478/cover/2110478.jpg", "Обложка")</f>
        <v>Обложка</v>
      </c>
      <c r="V14" s="28" t="str">
        <f>HYPERLINK("https://znanium.ru/catalog/product/2110478", "Ознакомиться")</f>
        <v>Ознакомиться</v>
      </c>
      <c r="W14" s="8"/>
      <c r="X14" s="6"/>
      <c r="Y14" s="6"/>
      <c r="Z14" s="6"/>
      <c r="AA14" s="6" t="s">
        <v>103</v>
      </c>
    </row>
    <row r="15" spans="1:27" s="4" customFormat="1" ht="42" customHeight="1">
      <c r="A15" s="5">
        <v>0</v>
      </c>
      <c r="B15" s="6" t="s">
        <v>104</v>
      </c>
      <c r="C15" s="7">
        <v>1590</v>
      </c>
      <c r="D15" s="8" t="s">
        <v>105</v>
      </c>
      <c r="E15" s="8" t="s">
        <v>106</v>
      </c>
      <c r="F15" s="8" t="s">
        <v>107</v>
      </c>
      <c r="G15" s="6" t="s">
        <v>37</v>
      </c>
      <c r="H15" s="6" t="s">
        <v>38</v>
      </c>
      <c r="I15" s="8" t="s">
        <v>39</v>
      </c>
      <c r="J15" s="9">
        <v>1</v>
      </c>
      <c r="K15" s="9">
        <v>342</v>
      </c>
      <c r="L15" s="9">
        <v>2023</v>
      </c>
      <c r="M15" s="8" t="s">
        <v>108</v>
      </c>
      <c r="N15" s="8" t="s">
        <v>74</v>
      </c>
      <c r="O15" s="8" t="s">
        <v>109</v>
      </c>
      <c r="P15" s="6" t="s">
        <v>43</v>
      </c>
      <c r="Q15" s="8" t="s">
        <v>44</v>
      </c>
      <c r="R15" s="10" t="s">
        <v>110</v>
      </c>
      <c r="S15" s="11"/>
      <c r="T15" s="6"/>
      <c r="U15" s="28" t="str">
        <f>HYPERLINK("https://media.infra-m.ru/2037/2037421/cover/2037421.jpg", "Обложка")</f>
        <v>Обложка</v>
      </c>
      <c r="V15" s="28" t="str">
        <f>HYPERLINK("https://znanium.ru/catalog/product/1865830", "Ознакомиться")</f>
        <v>Ознакомиться</v>
      </c>
      <c r="W15" s="8" t="s">
        <v>77</v>
      </c>
      <c r="X15" s="6"/>
      <c r="Y15" s="6"/>
      <c r="Z15" s="6"/>
      <c r="AA15" s="6" t="s">
        <v>111</v>
      </c>
    </row>
    <row r="16" spans="1:27" s="4" customFormat="1" ht="51.95" customHeight="1">
      <c r="A16" s="5">
        <v>0</v>
      </c>
      <c r="B16" s="6" t="s">
        <v>112</v>
      </c>
      <c r="C16" s="7">
        <v>1170</v>
      </c>
      <c r="D16" s="8" t="s">
        <v>113</v>
      </c>
      <c r="E16" s="8" t="s">
        <v>114</v>
      </c>
      <c r="F16" s="8" t="s">
        <v>115</v>
      </c>
      <c r="G16" s="6" t="s">
        <v>37</v>
      </c>
      <c r="H16" s="6" t="s">
        <v>38</v>
      </c>
      <c r="I16" s="8" t="s">
        <v>39</v>
      </c>
      <c r="J16" s="9">
        <v>1</v>
      </c>
      <c r="K16" s="9">
        <v>317</v>
      </c>
      <c r="L16" s="9">
        <v>2021</v>
      </c>
      <c r="M16" s="8" t="s">
        <v>116</v>
      </c>
      <c r="N16" s="8" t="s">
        <v>41</v>
      </c>
      <c r="O16" s="8" t="s">
        <v>65</v>
      </c>
      <c r="P16" s="6" t="s">
        <v>43</v>
      </c>
      <c r="Q16" s="8" t="s">
        <v>44</v>
      </c>
      <c r="R16" s="10" t="s">
        <v>117</v>
      </c>
      <c r="S16" s="11"/>
      <c r="T16" s="6"/>
      <c r="U16" s="28" t="str">
        <f>HYPERLINK("https://media.infra-m.ru/1238/1238778/cover/1238778.jpg", "Обложка")</f>
        <v>Обложка</v>
      </c>
      <c r="V16" s="28" t="str">
        <f>HYPERLINK("https://znanium.ru/catalog/product/1238778", "Ознакомиться")</f>
        <v>Ознакомиться</v>
      </c>
      <c r="W16" s="8" t="s">
        <v>118</v>
      </c>
      <c r="X16" s="6"/>
      <c r="Y16" s="6"/>
      <c r="Z16" s="6"/>
      <c r="AA16" s="6" t="s">
        <v>59</v>
      </c>
    </row>
    <row r="17" spans="1:27" s="4" customFormat="1" ht="51.95" customHeight="1">
      <c r="A17" s="5">
        <v>0</v>
      </c>
      <c r="B17" s="6" t="s">
        <v>119</v>
      </c>
      <c r="C17" s="13">
        <v>990</v>
      </c>
      <c r="D17" s="8" t="s">
        <v>120</v>
      </c>
      <c r="E17" s="8" t="s">
        <v>121</v>
      </c>
      <c r="F17" s="8" t="s">
        <v>122</v>
      </c>
      <c r="G17" s="6" t="s">
        <v>123</v>
      </c>
      <c r="H17" s="6" t="s">
        <v>38</v>
      </c>
      <c r="I17" s="8" t="s">
        <v>39</v>
      </c>
      <c r="J17" s="9">
        <v>1</v>
      </c>
      <c r="K17" s="9">
        <v>237</v>
      </c>
      <c r="L17" s="9">
        <v>2022</v>
      </c>
      <c r="M17" s="8" t="s">
        <v>124</v>
      </c>
      <c r="N17" s="8" t="s">
        <v>74</v>
      </c>
      <c r="O17" s="8" t="s">
        <v>93</v>
      </c>
      <c r="P17" s="6" t="s">
        <v>43</v>
      </c>
      <c r="Q17" s="8" t="s">
        <v>44</v>
      </c>
      <c r="R17" s="10" t="s">
        <v>125</v>
      </c>
      <c r="S17" s="11"/>
      <c r="T17" s="6"/>
      <c r="U17" s="28" t="str">
        <f>HYPERLINK("https://media.infra-m.ru/1818/1818427/cover/1818427.jpg", "Обложка")</f>
        <v>Обложка</v>
      </c>
      <c r="V17" s="28" t="str">
        <f>HYPERLINK("https://znanium.ru/catalog/product/1818427", "Ознакомиться")</f>
        <v>Ознакомиться</v>
      </c>
      <c r="W17" s="8" t="s">
        <v>95</v>
      </c>
      <c r="X17" s="6"/>
      <c r="Y17" s="6"/>
      <c r="Z17" s="6"/>
      <c r="AA17" s="6" t="s">
        <v>103</v>
      </c>
    </row>
    <row r="18" spans="1:27" s="4" customFormat="1" ht="44.1" customHeight="1">
      <c r="A18" s="5">
        <v>0</v>
      </c>
      <c r="B18" s="6" t="s">
        <v>126</v>
      </c>
      <c r="C18" s="7">
        <v>1280</v>
      </c>
      <c r="D18" s="8" t="s">
        <v>127</v>
      </c>
      <c r="E18" s="8" t="s">
        <v>128</v>
      </c>
      <c r="F18" s="8" t="s">
        <v>129</v>
      </c>
      <c r="G18" s="6" t="s">
        <v>37</v>
      </c>
      <c r="H18" s="6" t="s">
        <v>38</v>
      </c>
      <c r="I18" s="8" t="s">
        <v>39</v>
      </c>
      <c r="J18" s="9">
        <v>1</v>
      </c>
      <c r="K18" s="9">
        <v>270</v>
      </c>
      <c r="L18" s="9">
        <v>2024</v>
      </c>
      <c r="M18" s="8" t="s">
        <v>130</v>
      </c>
      <c r="N18" s="8" t="s">
        <v>74</v>
      </c>
      <c r="O18" s="8" t="s">
        <v>75</v>
      </c>
      <c r="P18" s="6" t="s">
        <v>43</v>
      </c>
      <c r="Q18" s="8" t="s">
        <v>44</v>
      </c>
      <c r="R18" s="10" t="s">
        <v>131</v>
      </c>
      <c r="S18" s="11"/>
      <c r="T18" s="6"/>
      <c r="U18" s="28" t="str">
        <f>HYPERLINK("https://media.infra-m.ru/2144/2144239/cover/2144239.jpg", "Обложка")</f>
        <v>Обложка</v>
      </c>
      <c r="V18" s="28" t="str">
        <f>HYPERLINK("https://znanium.ru/catalog/product/2144239", "Ознакомиться")</f>
        <v>Ознакомиться</v>
      </c>
      <c r="W18" s="8" t="s">
        <v>132</v>
      </c>
      <c r="X18" s="6"/>
      <c r="Y18" s="6"/>
      <c r="Z18" s="6"/>
      <c r="AA18" s="6" t="s">
        <v>78</v>
      </c>
    </row>
    <row r="19" spans="1:27" s="4" customFormat="1" ht="51.95" customHeight="1">
      <c r="A19" s="5">
        <v>0</v>
      </c>
      <c r="B19" s="6" t="s">
        <v>133</v>
      </c>
      <c r="C19" s="7">
        <v>1030</v>
      </c>
      <c r="D19" s="8" t="s">
        <v>134</v>
      </c>
      <c r="E19" s="8" t="s">
        <v>135</v>
      </c>
      <c r="F19" s="8" t="s">
        <v>136</v>
      </c>
      <c r="G19" s="6" t="s">
        <v>37</v>
      </c>
      <c r="H19" s="6" t="s">
        <v>38</v>
      </c>
      <c r="I19" s="8" t="s">
        <v>137</v>
      </c>
      <c r="J19" s="9">
        <v>1</v>
      </c>
      <c r="K19" s="9">
        <v>224</v>
      </c>
      <c r="L19" s="9">
        <v>2024</v>
      </c>
      <c r="M19" s="8" t="s">
        <v>138</v>
      </c>
      <c r="N19" s="8" t="s">
        <v>41</v>
      </c>
      <c r="O19" s="8" t="s">
        <v>65</v>
      </c>
      <c r="P19" s="6" t="s">
        <v>43</v>
      </c>
      <c r="Q19" s="8" t="s">
        <v>44</v>
      </c>
      <c r="R19" s="10" t="s">
        <v>139</v>
      </c>
      <c r="S19" s="11"/>
      <c r="T19" s="6"/>
      <c r="U19" s="28" t="str">
        <f>HYPERLINK("https://media.infra-m.ru/2126/2126340/cover/2126340.jpg", "Обложка")</f>
        <v>Обложка</v>
      </c>
      <c r="V19" s="12"/>
      <c r="W19" s="8" t="s">
        <v>140</v>
      </c>
      <c r="X19" s="6"/>
      <c r="Y19" s="6"/>
      <c r="Z19" s="6"/>
      <c r="AA19" s="6" t="s">
        <v>141</v>
      </c>
    </row>
    <row r="20" spans="1:27" s="4" customFormat="1" ht="42" customHeight="1">
      <c r="A20" s="5">
        <v>0</v>
      </c>
      <c r="B20" s="6" t="s">
        <v>142</v>
      </c>
      <c r="C20" s="7">
        <v>1580</v>
      </c>
      <c r="D20" s="8" t="s">
        <v>143</v>
      </c>
      <c r="E20" s="8" t="s">
        <v>144</v>
      </c>
      <c r="F20" s="8" t="s">
        <v>145</v>
      </c>
      <c r="G20" s="6" t="s">
        <v>83</v>
      </c>
      <c r="H20" s="6" t="s">
        <v>38</v>
      </c>
      <c r="I20" s="8" t="s">
        <v>146</v>
      </c>
      <c r="J20" s="9">
        <v>1</v>
      </c>
      <c r="K20" s="9">
        <v>352</v>
      </c>
      <c r="L20" s="9">
        <v>2023</v>
      </c>
      <c r="M20" s="8" t="s">
        <v>147</v>
      </c>
      <c r="N20" s="8" t="s">
        <v>41</v>
      </c>
      <c r="O20" s="8" t="s">
        <v>42</v>
      </c>
      <c r="P20" s="6" t="s">
        <v>43</v>
      </c>
      <c r="Q20" s="8" t="s">
        <v>44</v>
      </c>
      <c r="R20" s="10" t="s">
        <v>148</v>
      </c>
      <c r="S20" s="11"/>
      <c r="T20" s="6"/>
      <c r="U20" s="28" t="str">
        <f>HYPERLINK("https://media.infra-m.ru/2016/2016206/cover/2016206.jpg", "Обложка")</f>
        <v>Обложка</v>
      </c>
      <c r="V20" s="28" t="str">
        <f>HYPERLINK("https://znanium.ru/catalog/product/2016206", "Ознакомиться")</f>
        <v>Ознакомиться</v>
      </c>
      <c r="W20" s="8" t="s">
        <v>149</v>
      </c>
      <c r="X20" s="6"/>
      <c r="Y20" s="6"/>
      <c r="Z20" s="6"/>
      <c r="AA20" s="6" t="s">
        <v>150</v>
      </c>
    </row>
    <row r="21" spans="1:27" s="4" customFormat="1" ht="51.95" customHeight="1">
      <c r="A21" s="5">
        <v>0</v>
      </c>
      <c r="B21" s="6" t="s">
        <v>151</v>
      </c>
      <c r="C21" s="13">
        <v>490</v>
      </c>
      <c r="D21" s="8" t="s">
        <v>152</v>
      </c>
      <c r="E21" s="8" t="s">
        <v>153</v>
      </c>
      <c r="F21" s="8" t="s">
        <v>154</v>
      </c>
      <c r="G21" s="6" t="s">
        <v>37</v>
      </c>
      <c r="H21" s="6" t="s">
        <v>38</v>
      </c>
      <c r="I21" s="8" t="s">
        <v>155</v>
      </c>
      <c r="J21" s="9">
        <v>1</v>
      </c>
      <c r="K21" s="9">
        <v>103</v>
      </c>
      <c r="L21" s="9">
        <v>2024</v>
      </c>
      <c r="M21" s="8" t="s">
        <v>156</v>
      </c>
      <c r="N21" s="8" t="s">
        <v>74</v>
      </c>
      <c r="O21" s="8" t="s">
        <v>75</v>
      </c>
      <c r="P21" s="6" t="s">
        <v>55</v>
      </c>
      <c r="Q21" s="8" t="s">
        <v>56</v>
      </c>
      <c r="R21" s="10" t="s">
        <v>157</v>
      </c>
      <c r="S21" s="11" t="s">
        <v>158</v>
      </c>
      <c r="T21" s="6"/>
      <c r="U21" s="28" t="str">
        <f>HYPERLINK("https://media.infra-m.ru/2093/2093908/cover/2093908.jpg", "Обложка")</f>
        <v>Обложка</v>
      </c>
      <c r="V21" s="28" t="str">
        <f>HYPERLINK("https://znanium.ru/catalog/product/2093908", "Ознакомиться")</f>
        <v>Ознакомиться</v>
      </c>
      <c r="W21" s="8" t="s">
        <v>159</v>
      </c>
      <c r="X21" s="6"/>
      <c r="Y21" s="6"/>
      <c r="Z21" s="6"/>
      <c r="AA21" s="6" t="s">
        <v>47</v>
      </c>
    </row>
    <row r="22" spans="1:27" s="4" customFormat="1" ht="51.95" customHeight="1">
      <c r="A22" s="5">
        <v>0</v>
      </c>
      <c r="B22" s="6" t="s">
        <v>160</v>
      </c>
      <c r="C22" s="7">
        <v>1120</v>
      </c>
      <c r="D22" s="8" t="s">
        <v>161</v>
      </c>
      <c r="E22" s="8" t="s">
        <v>162</v>
      </c>
      <c r="F22" s="8" t="s">
        <v>163</v>
      </c>
      <c r="G22" s="6" t="s">
        <v>83</v>
      </c>
      <c r="H22" s="6" t="s">
        <v>52</v>
      </c>
      <c r="I22" s="8" t="s">
        <v>164</v>
      </c>
      <c r="J22" s="9">
        <v>1</v>
      </c>
      <c r="K22" s="9">
        <v>183</v>
      </c>
      <c r="L22" s="9">
        <v>2023</v>
      </c>
      <c r="M22" s="8" t="s">
        <v>165</v>
      </c>
      <c r="N22" s="8" t="s">
        <v>74</v>
      </c>
      <c r="O22" s="8" t="s">
        <v>75</v>
      </c>
      <c r="P22" s="6" t="s">
        <v>55</v>
      </c>
      <c r="Q22" s="8" t="s">
        <v>56</v>
      </c>
      <c r="R22" s="10" t="s">
        <v>166</v>
      </c>
      <c r="S22" s="11" t="s">
        <v>167</v>
      </c>
      <c r="T22" s="6"/>
      <c r="U22" s="28" t="str">
        <f>HYPERLINK("https://media.infra-m.ru/2110/2110927/cover/2110927.jpg", "Обложка")</f>
        <v>Обложка</v>
      </c>
      <c r="V22" s="28" t="str">
        <f>HYPERLINK("https://znanium.ru/catalog/product/2110927", "Ознакомиться")</f>
        <v>Ознакомиться</v>
      </c>
      <c r="W22" s="8" t="s">
        <v>168</v>
      </c>
      <c r="X22" s="6"/>
      <c r="Y22" s="6"/>
      <c r="Z22" s="6"/>
      <c r="AA22" s="6" t="s">
        <v>169</v>
      </c>
    </row>
    <row r="23" spans="1:27" s="4" customFormat="1" ht="51.95" customHeight="1">
      <c r="A23" s="5">
        <v>0</v>
      </c>
      <c r="B23" s="6" t="s">
        <v>170</v>
      </c>
      <c r="C23" s="7">
        <v>1050</v>
      </c>
      <c r="D23" s="8" t="s">
        <v>171</v>
      </c>
      <c r="E23" s="8" t="s">
        <v>172</v>
      </c>
      <c r="F23" s="8" t="s">
        <v>173</v>
      </c>
      <c r="G23" s="6" t="s">
        <v>123</v>
      </c>
      <c r="H23" s="6" t="s">
        <v>38</v>
      </c>
      <c r="I23" s="8" t="s">
        <v>174</v>
      </c>
      <c r="J23" s="9">
        <v>1</v>
      </c>
      <c r="K23" s="9">
        <v>216</v>
      </c>
      <c r="L23" s="9">
        <v>2024</v>
      </c>
      <c r="M23" s="8" t="s">
        <v>175</v>
      </c>
      <c r="N23" s="8" t="s">
        <v>74</v>
      </c>
      <c r="O23" s="8" t="s">
        <v>75</v>
      </c>
      <c r="P23" s="6" t="s">
        <v>176</v>
      </c>
      <c r="Q23" s="8" t="s">
        <v>177</v>
      </c>
      <c r="R23" s="10" t="s">
        <v>178</v>
      </c>
      <c r="S23" s="11"/>
      <c r="T23" s="6"/>
      <c r="U23" s="28" t="str">
        <f>HYPERLINK("https://media.infra-m.ru/2049/2049711/cover/2049711.jpg", "Обложка")</f>
        <v>Обложка</v>
      </c>
      <c r="V23" s="28" t="str">
        <f>HYPERLINK("https://znanium.ru/catalog/product/2049711", "Ознакомиться")</f>
        <v>Ознакомиться</v>
      </c>
      <c r="W23" s="8" t="s">
        <v>140</v>
      </c>
      <c r="X23" s="6" t="s">
        <v>179</v>
      </c>
      <c r="Y23" s="6"/>
      <c r="Z23" s="6"/>
      <c r="AA23" s="6" t="s">
        <v>180</v>
      </c>
    </row>
    <row r="24" spans="1:27" s="4" customFormat="1" ht="51.95" customHeight="1">
      <c r="A24" s="5">
        <v>0</v>
      </c>
      <c r="B24" s="6" t="s">
        <v>181</v>
      </c>
      <c r="C24" s="7">
        <v>1444</v>
      </c>
      <c r="D24" s="8" t="s">
        <v>182</v>
      </c>
      <c r="E24" s="8" t="s">
        <v>183</v>
      </c>
      <c r="F24" s="8" t="s">
        <v>184</v>
      </c>
      <c r="G24" s="6" t="s">
        <v>83</v>
      </c>
      <c r="H24" s="6" t="s">
        <v>38</v>
      </c>
      <c r="I24" s="8" t="s">
        <v>185</v>
      </c>
      <c r="J24" s="9">
        <v>1</v>
      </c>
      <c r="K24" s="9">
        <v>314</v>
      </c>
      <c r="L24" s="9">
        <v>2024</v>
      </c>
      <c r="M24" s="8" t="s">
        <v>186</v>
      </c>
      <c r="N24" s="8" t="s">
        <v>74</v>
      </c>
      <c r="O24" s="8" t="s">
        <v>75</v>
      </c>
      <c r="P24" s="6" t="s">
        <v>176</v>
      </c>
      <c r="Q24" s="8" t="s">
        <v>187</v>
      </c>
      <c r="R24" s="10" t="s">
        <v>188</v>
      </c>
      <c r="S24" s="11" t="s">
        <v>189</v>
      </c>
      <c r="T24" s="6" t="s">
        <v>190</v>
      </c>
      <c r="U24" s="28" t="str">
        <f>HYPERLINK("https://media.infra-m.ru/2103/2103737/cover/2103737.jpg", "Обложка")</f>
        <v>Обложка</v>
      </c>
      <c r="V24" s="28" t="str">
        <f>HYPERLINK("https://znanium.ru/catalog/product/1873491", "Ознакомиться")</f>
        <v>Ознакомиться</v>
      </c>
      <c r="W24" s="8" t="s">
        <v>191</v>
      </c>
      <c r="X24" s="6"/>
      <c r="Y24" s="6"/>
      <c r="Z24" s="6" t="s">
        <v>192</v>
      </c>
      <c r="AA24" s="6" t="s">
        <v>193</v>
      </c>
    </row>
    <row r="25" spans="1:27" s="4" customFormat="1" ht="44.1" customHeight="1">
      <c r="A25" s="5">
        <v>0</v>
      </c>
      <c r="B25" s="6" t="s">
        <v>194</v>
      </c>
      <c r="C25" s="7">
        <v>1300</v>
      </c>
      <c r="D25" s="8" t="s">
        <v>195</v>
      </c>
      <c r="E25" s="8" t="s">
        <v>196</v>
      </c>
      <c r="F25" s="8" t="s">
        <v>197</v>
      </c>
      <c r="G25" s="6" t="s">
        <v>123</v>
      </c>
      <c r="H25" s="6" t="s">
        <v>38</v>
      </c>
      <c r="I25" s="8" t="s">
        <v>185</v>
      </c>
      <c r="J25" s="9">
        <v>1</v>
      </c>
      <c r="K25" s="9">
        <v>272</v>
      </c>
      <c r="L25" s="9">
        <v>2023</v>
      </c>
      <c r="M25" s="8" t="s">
        <v>198</v>
      </c>
      <c r="N25" s="8" t="s">
        <v>74</v>
      </c>
      <c r="O25" s="8" t="s">
        <v>75</v>
      </c>
      <c r="P25" s="6" t="s">
        <v>55</v>
      </c>
      <c r="Q25" s="8" t="s">
        <v>187</v>
      </c>
      <c r="R25" s="10" t="s">
        <v>199</v>
      </c>
      <c r="S25" s="11"/>
      <c r="T25" s="6"/>
      <c r="U25" s="28" t="str">
        <f>HYPERLINK("https://media.infra-m.ru/1837/1837050/cover/1837050.jpg", "Обложка")</f>
        <v>Обложка</v>
      </c>
      <c r="V25" s="28" t="str">
        <f>HYPERLINK("https://znanium.ru/catalog/product/1837050", "Ознакомиться")</f>
        <v>Ознакомиться</v>
      </c>
      <c r="W25" s="8" t="s">
        <v>200</v>
      </c>
      <c r="X25" s="6"/>
      <c r="Y25" s="6"/>
      <c r="Z25" s="6"/>
      <c r="AA25" s="6" t="s">
        <v>103</v>
      </c>
    </row>
    <row r="26" spans="1:27" s="4" customFormat="1" ht="51.95" customHeight="1">
      <c r="A26" s="5">
        <v>0</v>
      </c>
      <c r="B26" s="6" t="s">
        <v>201</v>
      </c>
      <c r="C26" s="7">
        <v>2240</v>
      </c>
      <c r="D26" s="8" t="s">
        <v>202</v>
      </c>
      <c r="E26" s="8" t="s">
        <v>203</v>
      </c>
      <c r="F26" s="8" t="s">
        <v>204</v>
      </c>
      <c r="G26" s="6" t="s">
        <v>83</v>
      </c>
      <c r="H26" s="6" t="s">
        <v>52</v>
      </c>
      <c r="I26" s="8" t="s">
        <v>205</v>
      </c>
      <c r="J26" s="9">
        <v>1</v>
      </c>
      <c r="K26" s="9">
        <v>383</v>
      </c>
      <c r="L26" s="9">
        <v>2023</v>
      </c>
      <c r="M26" s="8" t="s">
        <v>206</v>
      </c>
      <c r="N26" s="8" t="s">
        <v>74</v>
      </c>
      <c r="O26" s="8" t="s">
        <v>75</v>
      </c>
      <c r="P26" s="6" t="s">
        <v>176</v>
      </c>
      <c r="Q26" s="8" t="s">
        <v>207</v>
      </c>
      <c r="R26" s="10" t="s">
        <v>208</v>
      </c>
      <c r="S26" s="11" t="s">
        <v>209</v>
      </c>
      <c r="T26" s="6"/>
      <c r="U26" s="28" t="str">
        <f>HYPERLINK("https://media.infra-m.ru/1921/1921403/cover/1921403.jpg", "Обложка")</f>
        <v>Обложка</v>
      </c>
      <c r="V26" s="28" t="str">
        <f>HYPERLINK("https://znanium.ru/catalog/product/1921403", "Ознакомиться")</f>
        <v>Ознакомиться</v>
      </c>
      <c r="W26" s="8" t="s">
        <v>210</v>
      </c>
      <c r="X26" s="6"/>
      <c r="Y26" s="6" t="s">
        <v>30</v>
      </c>
      <c r="Z26" s="6"/>
      <c r="AA26" s="6" t="s">
        <v>211</v>
      </c>
    </row>
    <row r="27" spans="1:27" s="4" customFormat="1" ht="51.95" customHeight="1">
      <c r="A27" s="5">
        <v>0</v>
      </c>
      <c r="B27" s="6" t="s">
        <v>212</v>
      </c>
      <c r="C27" s="7">
        <v>2130</v>
      </c>
      <c r="D27" s="8" t="s">
        <v>213</v>
      </c>
      <c r="E27" s="8" t="s">
        <v>214</v>
      </c>
      <c r="F27" s="8" t="s">
        <v>215</v>
      </c>
      <c r="G27" s="6" t="s">
        <v>123</v>
      </c>
      <c r="H27" s="6" t="s">
        <v>38</v>
      </c>
      <c r="I27" s="8" t="s">
        <v>216</v>
      </c>
      <c r="J27" s="9">
        <v>1</v>
      </c>
      <c r="K27" s="9">
        <v>462</v>
      </c>
      <c r="L27" s="9">
        <v>2023</v>
      </c>
      <c r="M27" s="8" t="s">
        <v>217</v>
      </c>
      <c r="N27" s="8" t="s">
        <v>74</v>
      </c>
      <c r="O27" s="8" t="s">
        <v>75</v>
      </c>
      <c r="P27" s="6" t="s">
        <v>176</v>
      </c>
      <c r="Q27" s="8" t="s">
        <v>207</v>
      </c>
      <c r="R27" s="10" t="s">
        <v>218</v>
      </c>
      <c r="S27" s="11"/>
      <c r="T27" s="6"/>
      <c r="U27" s="28" t="str">
        <f>HYPERLINK("https://media.infra-m.ru/2016/2016340/cover/2016340.jpg", "Обложка")</f>
        <v>Обложка</v>
      </c>
      <c r="V27" s="28" t="str">
        <f>HYPERLINK("https://znanium.ru/catalog/product/2016340", "Ознакомиться")</f>
        <v>Ознакомиться</v>
      </c>
      <c r="W27" s="8" t="s">
        <v>140</v>
      </c>
      <c r="X27" s="6" t="s">
        <v>219</v>
      </c>
      <c r="Y27" s="6"/>
      <c r="Z27" s="6"/>
      <c r="AA27" s="6" t="s">
        <v>111</v>
      </c>
    </row>
    <row r="28" spans="1:27" s="4" customFormat="1" ht="42" customHeight="1">
      <c r="A28" s="5">
        <v>0</v>
      </c>
      <c r="B28" s="6" t="s">
        <v>220</v>
      </c>
      <c r="C28" s="7">
        <v>1490</v>
      </c>
      <c r="D28" s="8" t="s">
        <v>221</v>
      </c>
      <c r="E28" s="8" t="s">
        <v>222</v>
      </c>
      <c r="F28" s="8" t="s">
        <v>223</v>
      </c>
      <c r="G28" s="6" t="s">
        <v>123</v>
      </c>
      <c r="H28" s="6" t="s">
        <v>38</v>
      </c>
      <c r="I28" s="8" t="s">
        <v>39</v>
      </c>
      <c r="J28" s="9">
        <v>1</v>
      </c>
      <c r="K28" s="9">
        <v>401</v>
      </c>
      <c r="L28" s="9">
        <v>2021</v>
      </c>
      <c r="M28" s="8" t="s">
        <v>224</v>
      </c>
      <c r="N28" s="8" t="s">
        <v>74</v>
      </c>
      <c r="O28" s="8" t="s">
        <v>93</v>
      </c>
      <c r="P28" s="6" t="s">
        <v>43</v>
      </c>
      <c r="Q28" s="8" t="s">
        <v>44</v>
      </c>
      <c r="R28" s="10" t="s">
        <v>225</v>
      </c>
      <c r="S28" s="11"/>
      <c r="T28" s="6"/>
      <c r="U28" s="28" t="str">
        <f>HYPERLINK("https://media.infra-m.ru/1064/1064931/cover/1064931.jpg", "Обложка")</f>
        <v>Обложка</v>
      </c>
      <c r="V28" s="28" t="str">
        <f>HYPERLINK("https://znanium.ru/catalog/product/1064931", "Ознакомиться")</f>
        <v>Ознакомиться</v>
      </c>
      <c r="W28" s="8" t="s">
        <v>226</v>
      </c>
      <c r="X28" s="6"/>
      <c r="Y28" s="6"/>
      <c r="Z28" s="6"/>
      <c r="AA28" s="6" t="s">
        <v>193</v>
      </c>
    </row>
    <row r="29" spans="1:27" s="4" customFormat="1" ht="51.95" customHeight="1">
      <c r="A29" s="5">
        <v>0</v>
      </c>
      <c r="B29" s="6" t="s">
        <v>227</v>
      </c>
      <c r="C29" s="7">
        <v>1330</v>
      </c>
      <c r="D29" s="8" t="s">
        <v>228</v>
      </c>
      <c r="E29" s="8" t="s">
        <v>229</v>
      </c>
      <c r="F29" s="8" t="s">
        <v>230</v>
      </c>
      <c r="G29" s="6" t="s">
        <v>83</v>
      </c>
      <c r="H29" s="6" t="s">
        <v>38</v>
      </c>
      <c r="I29" s="8" t="s">
        <v>205</v>
      </c>
      <c r="J29" s="9">
        <v>1</v>
      </c>
      <c r="K29" s="9">
        <v>282</v>
      </c>
      <c r="L29" s="9">
        <v>2024</v>
      </c>
      <c r="M29" s="8" t="s">
        <v>231</v>
      </c>
      <c r="N29" s="8" t="s">
        <v>74</v>
      </c>
      <c r="O29" s="8" t="s">
        <v>75</v>
      </c>
      <c r="P29" s="6" t="s">
        <v>55</v>
      </c>
      <c r="Q29" s="8" t="s">
        <v>207</v>
      </c>
      <c r="R29" s="10" t="s">
        <v>232</v>
      </c>
      <c r="S29" s="11" t="s">
        <v>233</v>
      </c>
      <c r="T29" s="6"/>
      <c r="U29" s="28" t="str">
        <f>HYPERLINK("https://media.infra-m.ru/2152/2152107/cover/2152107.jpg", "Обложка")</f>
        <v>Обложка</v>
      </c>
      <c r="V29" s="28" t="str">
        <f>HYPERLINK("https://znanium.ru/catalog/product/2152107", "Ознакомиться")</f>
        <v>Ознакомиться</v>
      </c>
      <c r="W29" s="8" t="s">
        <v>234</v>
      </c>
      <c r="X29" s="6"/>
      <c r="Y29" s="6"/>
      <c r="Z29" s="6" t="s">
        <v>235</v>
      </c>
      <c r="AA29" s="6" t="s">
        <v>78</v>
      </c>
    </row>
    <row r="30" spans="1:27" s="4" customFormat="1" ht="51.95" customHeight="1">
      <c r="A30" s="5">
        <v>0</v>
      </c>
      <c r="B30" s="6" t="s">
        <v>236</v>
      </c>
      <c r="C30" s="7">
        <v>1280</v>
      </c>
      <c r="D30" s="8" t="s">
        <v>237</v>
      </c>
      <c r="E30" s="8" t="s">
        <v>229</v>
      </c>
      <c r="F30" s="8" t="s">
        <v>230</v>
      </c>
      <c r="G30" s="6" t="s">
        <v>83</v>
      </c>
      <c r="H30" s="6" t="s">
        <v>38</v>
      </c>
      <c r="I30" s="8" t="s">
        <v>164</v>
      </c>
      <c r="J30" s="9">
        <v>1</v>
      </c>
      <c r="K30" s="9">
        <v>282</v>
      </c>
      <c r="L30" s="9">
        <v>2023</v>
      </c>
      <c r="M30" s="8" t="s">
        <v>238</v>
      </c>
      <c r="N30" s="8" t="s">
        <v>74</v>
      </c>
      <c r="O30" s="8" t="s">
        <v>75</v>
      </c>
      <c r="P30" s="6" t="s">
        <v>55</v>
      </c>
      <c r="Q30" s="8" t="s">
        <v>56</v>
      </c>
      <c r="R30" s="10" t="s">
        <v>239</v>
      </c>
      <c r="S30" s="11" t="s">
        <v>240</v>
      </c>
      <c r="T30" s="6"/>
      <c r="U30" s="28" t="str">
        <f>HYPERLINK("https://media.infra-m.ru/1915/1915345/cover/1915345.jpg", "Обложка")</f>
        <v>Обложка</v>
      </c>
      <c r="V30" s="28" t="str">
        <f>HYPERLINK("https://znanium.ru/catalog/product/1915345", "Ознакомиться")</f>
        <v>Ознакомиться</v>
      </c>
      <c r="W30" s="8" t="s">
        <v>234</v>
      </c>
      <c r="X30" s="6"/>
      <c r="Y30" s="6"/>
      <c r="Z30" s="6"/>
      <c r="AA30" s="6" t="s">
        <v>59</v>
      </c>
    </row>
    <row r="31" spans="1:27" s="4" customFormat="1" ht="42" customHeight="1">
      <c r="A31" s="5">
        <v>0</v>
      </c>
      <c r="B31" s="6" t="s">
        <v>241</v>
      </c>
      <c r="C31" s="13">
        <v>944.9</v>
      </c>
      <c r="D31" s="8" t="s">
        <v>242</v>
      </c>
      <c r="E31" s="8" t="s">
        <v>243</v>
      </c>
      <c r="F31" s="8" t="s">
        <v>244</v>
      </c>
      <c r="G31" s="6" t="s">
        <v>123</v>
      </c>
      <c r="H31" s="6" t="s">
        <v>38</v>
      </c>
      <c r="I31" s="8" t="s">
        <v>39</v>
      </c>
      <c r="J31" s="9">
        <v>1</v>
      </c>
      <c r="K31" s="9">
        <v>242</v>
      </c>
      <c r="L31" s="9">
        <v>2022</v>
      </c>
      <c r="M31" s="8" t="s">
        <v>245</v>
      </c>
      <c r="N31" s="8" t="s">
        <v>74</v>
      </c>
      <c r="O31" s="8" t="s">
        <v>93</v>
      </c>
      <c r="P31" s="6" t="s">
        <v>43</v>
      </c>
      <c r="Q31" s="8" t="s">
        <v>44</v>
      </c>
      <c r="R31" s="10" t="s">
        <v>246</v>
      </c>
      <c r="S31" s="11"/>
      <c r="T31" s="6"/>
      <c r="U31" s="28" t="str">
        <f>HYPERLINK("https://media.infra-m.ru/1859/1859837/cover/1859837.jpg", "Обложка")</f>
        <v>Обложка</v>
      </c>
      <c r="V31" s="28" t="str">
        <f>HYPERLINK("https://znanium.ru/catalog/product/1859837", "Ознакомиться")</f>
        <v>Ознакомиться</v>
      </c>
      <c r="W31" s="8" t="s">
        <v>247</v>
      </c>
      <c r="X31" s="6"/>
      <c r="Y31" s="6"/>
      <c r="Z31" s="6"/>
      <c r="AA31" s="6" t="s">
        <v>68</v>
      </c>
    </row>
    <row r="32" spans="1:27" s="4" customFormat="1" ht="42" customHeight="1">
      <c r="A32" s="5">
        <v>0</v>
      </c>
      <c r="B32" s="6" t="s">
        <v>248</v>
      </c>
      <c r="C32" s="13">
        <v>590</v>
      </c>
      <c r="D32" s="8" t="s">
        <v>249</v>
      </c>
      <c r="E32" s="8" t="s">
        <v>250</v>
      </c>
      <c r="F32" s="8" t="s">
        <v>251</v>
      </c>
      <c r="G32" s="6" t="s">
        <v>37</v>
      </c>
      <c r="H32" s="6" t="s">
        <v>38</v>
      </c>
      <c r="I32" s="8" t="s">
        <v>155</v>
      </c>
      <c r="J32" s="9">
        <v>1</v>
      </c>
      <c r="K32" s="9">
        <v>127</v>
      </c>
      <c r="L32" s="9">
        <v>2024</v>
      </c>
      <c r="M32" s="8" t="s">
        <v>252</v>
      </c>
      <c r="N32" s="8" t="s">
        <v>74</v>
      </c>
      <c r="O32" s="8" t="s">
        <v>75</v>
      </c>
      <c r="P32" s="6" t="s">
        <v>55</v>
      </c>
      <c r="Q32" s="8" t="s">
        <v>56</v>
      </c>
      <c r="R32" s="10" t="s">
        <v>253</v>
      </c>
      <c r="S32" s="11"/>
      <c r="T32" s="6"/>
      <c r="U32" s="28" t="str">
        <f>HYPERLINK("https://media.infra-m.ru/2100/2100921/cover/2100921.jpg", "Обложка")</f>
        <v>Обложка</v>
      </c>
      <c r="V32" s="28" t="str">
        <f>HYPERLINK("https://znanium.ru/catalog/product/2100921", "Ознакомиться")</f>
        <v>Ознакомиться</v>
      </c>
      <c r="W32" s="8" t="s">
        <v>159</v>
      </c>
      <c r="X32" s="6"/>
      <c r="Y32" s="6"/>
      <c r="Z32" s="6"/>
      <c r="AA32" s="6" t="s">
        <v>47</v>
      </c>
    </row>
    <row r="33" spans="1:27" s="4" customFormat="1" ht="51.95" customHeight="1">
      <c r="A33" s="5">
        <v>0</v>
      </c>
      <c r="B33" s="6" t="s">
        <v>254</v>
      </c>
      <c r="C33" s="7">
        <v>1470</v>
      </c>
      <c r="D33" s="8" t="s">
        <v>255</v>
      </c>
      <c r="E33" s="8" t="s">
        <v>256</v>
      </c>
      <c r="F33" s="8" t="s">
        <v>257</v>
      </c>
      <c r="G33" s="6" t="s">
        <v>83</v>
      </c>
      <c r="H33" s="6" t="s">
        <v>38</v>
      </c>
      <c r="I33" s="8" t="s">
        <v>205</v>
      </c>
      <c r="J33" s="9">
        <v>1</v>
      </c>
      <c r="K33" s="9">
        <v>314</v>
      </c>
      <c r="L33" s="9">
        <v>2024</v>
      </c>
      <c r="M33" s="8" t="s">
        <v>258</v>
      </c>
      <c r="N33" s="8" t="s">
        <v>74</v>
      </c>
      <c r="O33" s="8" t="s">
        <v>75</v>
      </c>
      <c r="P33" s="6" t="s">
        <v>176</v>
      </c>
      <c r="Q33" s="8" t="s">
        <v>207</v>
      </c>
      <c r="R33" s="10" t="s">
        <v>232</v>
      </c>
      <c r="S33" s="11" t="s">
        <v>259</v>
      </c>
      <c r="T33" s="6" t="s">
        <v>190</v>
      </c>
      <c r="U33" s="28" t="str">
        <f>HYPERLINK("https://media.infra-m.ru/2141/2141020/cover/2141020.jpg", "Обложка")</f>
        <v>Обложка</v>
      </c>
      <c r="V33" s="28" t="str">
        <f>HYPERLINK("https://znanium.ru/catalog/product/2141020", "Ознакомиться")</f>
        <v>Ознакомиться</v>
      </c>
      <c r="W33" s="8" t="s">
        <v>191</v>
      </c>
      <c r="X33" s="6"/>
      <c r="Y33" s="6"/>
      <c r="Z33" s="6" t="s">
        <v>235</v>
      </c>
      <c r="AA33" s="6" t="s">
        <v>78</v>
      </c>
    </row>
    <row r="34" spans="1:27" s="4" customFormat="1" ht="51.95" customHeight="1">
      <c r="A34" s="5">
        <v>0</v>
      </c>
      <c r="B34" s="6" t="s">
        <v>260</v>
      </c>
      <c r="C34" s="7">
        <v>1414.9</v>
      </c>
      <c r="D34" s="8" t="s">
        <v>261</v>
      </c>
      <c r="E34" s="8" t="s">
        <v>262</v>
      </c>
      <c r="F34" s="8" t="s">
        <v>257</v>
      </c>
      <c r="G34" s="6" t="s">
        <v>83</v>
      </c>
      <c r="H34" s="6" t="s">
        <v>38</v>
      </c>
      <c r="I34" s="8" t="s">
        <v>164</v>
      </c>
      <c r="J34" s="9">
        <v>1</v>
      </c>
      <c r="K34" s="9">
        <v>314</v>
      </c>
      <c r="L34" s="9">
        <v>2022</v>
      </c>
      <c r="M34" s="8" t="s">
        <v>263</v>
      </c>
      <c r="N34" s="8" t="s">
        <v>74</v>
      </c>
      <c r="O34" s="8" t="s">
        <v>75</v>
      </c>
      <c r="P34" s="6" t="s">
        <v>176</v>
      </c>
      <c r="Q34" s="8" t="s">
        <v>56</v>
      </c>
      <c r="R34" s="10" t="s">
        <v>264</v>
      </c>
      <c r="S34" s="11" t="s">
        <v>265</v>
      </c>
      <c r="T34" s="6" t="s">
        <v>190</v>
      </c>
      <c r="U34" s="28" t="str">
        <f>HYPERLINK("https://media.infra-m.ru/1913/1913537/cover/1913537.jpg", "Обложка")</f>
        <v>Обложка</v>
      </c>
      <c r="V34" s="28" t="str">
        <f>HYPERLINK("https://znanium.ru/catalog/product/1896437", "Ознакомиться")</f>
        <v>Ознакомиться</v>
      </c>
      <c r="W34" s="8" t="s">
        <v>191</v>
      </c>
      <c r="X34" s="6"/>
      <c r="Y34" s="6"/>
      <c r="Z34" s="6"/>
      <c r="AA34" s="6" t="s">
        <v>169</v>
      </c>
    </row>
    <row r="35" spans="1:27" s="4" customFormat="1" ht="42" customHeight="1">
      <c r="A35" s="5">
        <v>0</v>
      </c>
      <c r="B35" s="6" t="s">
        <v>266</v>
      </c>
      <c r="C35" s="13">
        <v>470</v>
      </c>
      <c r="D35" s="8" t="s">
        <v>267</v>
      </c>
      <c r="E35" s="8" t="s">
        <v>268</v>
      </c>
      <c r="F35" s="8" t="s">
        <v>269</v>
      </c>
      <c r="G35" s="6" t="s">
        <v>37</v>
      </c>
      <c r="H35" s="6" t="s">
        <v>38</v>
      </c>
      <c r="I35" s="8" t="s">
        <v>270</v>
      </c>
      <c r="J35" s="9">
        <v>1</v>
      </c>
      <c r="K35" s="9">
        <v>97</v>
      </c>
      <c r="L35" s="9">
        <v>2024</v>
      </c>
      <c r="M35" s="8" t="s">
        <v>271</v>
      </c>
      <c r="N35" s="8" t="s">
        <v>74</v>
      </c>
      <c r="O35" s="8" t="s">
        <v>75</v>
      </c>
      <c r="P35" s="6" t="s">
        <v>272</v>
      </c>
      <c r="Q35" s="8" t="s">
        <v>56</v>
      </c>
      <c r="R35" s="10" t="s">
        <v>253</v>
      </c>
      <c r="S35" s="11"/>
      <c r="T35" s="6"/>
      <c r="U35" s="28" t="str">
        <f>HYPERLINK("https://media.infra-m.ru/1891/1891780/cover/1891780.jpg", "Обложка")</f>
        <v>Обложка</v>
      </c>
      <c r="V35" s="28" t="str">
        <f>HYPERLINK("https://znanium.ru/catalog/product/1891780", "Ознакомиться")</f>
        <v>Ознакомиться</v>
      </c>
      <c r="W35" s="8" t="s">
        <v>273</v>
      </c>
      <c r="X35" s="6"/>
      <c r="Y35" s="6"/>
      <c r="Z35" s="6"/>
      <c r="AA35" s="6" t="s">
        <v>274</v>
      </c>
    </row>
    <row r="36" spans="1:27" s="4" customFormat="1" ht="51.95" customHeight="1">
      <c r="A36" s="5">
        <v>0</v>
      </c>
      <c r="B36" s="6" t="s">
        <v>275</v>
      </c>
      <c r="C36" s="13">
        <v>500</v>
      </c>
      <c r="D36" s="8" t="s">
        <v>276</v>
      </c>
      <c r="E36" s="8" t="s">
        <v>277</v>
      </c>
      <c r="F36" s="8" t="s">
        <v>278</v>
      </c>
      <c r="G36" s="6" t="s">
        <v>37</v>
      </c>
      <c r="H36" s="6" t="s">
        <v>38</v>
      </c>
      <c r="I36" s="8" t="s">
        <v>164</v>
      </c>
      <c r="J36" s="9">
        <v>1</v>
      </c>
      <c r="K36" s="9">
        <v>120</v>
      </c>
      <c r="L36" s="9">
        <v>2022</v>
      </c>
      <c r="M36" s="8" t="s">
        <v>279</v>
      </c>
      <c r="N36" s="8" t="s">
        <v>74</v>
      </c>
      <c r="O36" s="8" t="s">
        <v>75</v>
      </c>
      <c r="P36" s="6" t="s">
        <v>176</v>
      </c>
      <c r="Q36" s="8" t="s">
        <v>56</v>
      </c>
      <c r="R36" s="10" t="s">
        <v>280</v>
      </c>
      <c r="S36" s="11" t="s">
        <v>281</v>
      </c>
      <c r="T36" s="6"/>
      <c r="U36" s="28" t="str">
        <f>HYPERLINK("https://media.infra-m.ru/1878/1878653/cover/1878653.jpg", "Обложка")</f>
        <v>Обложка</v>
      </c>
      <c r="V36" s="28" t="str">
        <f>HYPERLINK("https://znanium.ru/catalog/product/1723355", "Ознакомиться")</f>
        <v>Ознакомиться</v>
      </c>
      <c r="W36" s="8" t="s">
        <v>282</v>
      </c>
      <c r="X36" s="6"/>
      <c r="Y36" s="6"/>
      <c r="Z36" s="6" t="s">
        <v>283</v>
      </c>
      <c r="AA36" s="6" t="s">
        <v>78</v>
      </c>
    </row>
    <row r="37" spans="1:27" s="4" customFormat="1" ht="51.95" customHeight="1">
      <c r="A37" s="5">
        <v>0</v>
      </c>
      <c r="B37" s="6" t="s">
        <v>284</v>
      </c>
      <c r="C37" s="13">
        <v>590</v>
      </c>
      <c r="D37" s="8" t="s">
        <v>285</v>
      </c>
      <c r="E37" s="8" t="s">
        <v>277</v>
      </c>
      <c r="F37" s="8" t="s">
        <v>286</v>
      </c>
      <c r="G37" s="6" t="s">
        <v>37</v>
      </c>
      <c r="H37" s="6" t="s">
        <v>38</v>
      </c>
      <c r="I37" s="8" t="s">
        <v>205</v>
      </c>
      <c r="J37" s="9">
        <v>1</v>
      </c>
      <c r="K37" s="9">
        <v>120</v>
      </c>
      <c r="L37" s="9">
        <v>2024</v>
      </c>
      <c r="M37" s="8" t="s">
        <v>287</v>
      </c>
      <c r="N37" s="8" t="s">
        <v>74</v>
      </c>
      <c r="O37" s="8" t="s">
        <v>75</v>
      </c>
      <c r="P37" s="6" t="s">
        <v>176</v>
      </c>
      <c r="Q37" s="8" t="s">
        <v>207</v>
      </c>
      <c r="R37" s="10" t="s">
        <v>288</v>
      </c>
      <c r="S37" s="11" t="s">
        <v>289</v>
      </c>
      <c r="T37" s="6"/>
      <c r="U37" s="28" t="str">
        <f>HYPERLINK("https://media.infra-m.ru/2082/2082173/cover/2082173.jpg", "Обложка")</f>
        <v>Обложка</v>
      </c>
      <c r="V37" s="28" t="str">
        <f>HYPERLINK("https://znanium.ru/catalog/product/2082173", "Ознакомиться")</f>
        <v>Ознакомиться</v>
      </c>
      <c r="W37" s="8" t="s">
        <v>282</v>
      </c>
      <c r="X37" s="6"/>
      <c r="Y37" s="6"/>
      <c r="Z37" s="6"/>
      <c r="AA37" s="6" t="s">
        <v>290</v>
      </c>
    </row>
    <row r="38" spans="1:27" s="4" customFormat="1" ht="42" customHeight="1">
      <c r="A38" s="5">
        <v>0</v>
      </c>
      <c r="B38" s="6" t="s">
        <v>291</v>
      </c>
      <c r="C38" s="13">
        <v>610</v>
      </c>
      <c r="D38" s="8" t="s">
        <v>292</v>
      </c>
      <c r="E38" s="8" t="s">
        <v>293</v>
      </c>
      <c r="F38" s="8" t="s">
        <v>294</v>
      </c>
      <c r="G38" s="6" t="s">
        <v>37</v>
      </c>
      <c r="H38" s="6" t="s">
        <v>38</v>
      </c>
      <c r="I38" s="8" t="s">
        <v>155</v>
      </c>
      <c r="J38" s="9">
        <v>1</v>
      </c>
      <c r="K38" s="9">
        <v>119</v>
      </c>
      <c r="L38" s="9">
        <v>2023</v>
      </c>
      <c r="M38" s="8" t="s">
        <v>295</v>
      </c>
      <c r="N38" s="8" t="s">
        <v>74</v>
      </c>
      <c r="O38" s="8" t="s">
        <v>75</v>
      </c>
      <c r="P38" s="6" t="s">
        <v>55</v>
      </c>
      <c r="Q38" s="8" t="s">
        <v>177</v>
      </c>
      <c r="R38" s="10" t="s">
        <v>296</v>
      </c>
      <c r="S38" s="11"/>
      <c r="T38" s="6"/>
      <c r="U38" s="28" t="str">
        <f>HYPERLINK("https://media.infra-m.ru/1859/1859919/cover/1859919.jpg", "Обложка")</f>
        <v>Обложка</v>
      </c>
      <c r="V38" s="28" t="str">
        <f>HYPERLINK("https://znanium.ru/catalog/product/1859919", "Ознакомиться")</f>
        <v>Ознакомиться</v>
      </c>
      <c r="W38" s="8" t="s">
        <v>297</v>
      </c>
      <c r="X38" s="6" t="s">
        <v>298</v>
      </c>
      <c r="Y38" s="6"/>
      <c r="Z38" s="6"/>
      <c r="AA38" s="6" t="s">
        <v>111</v>
      </c>
    </row>
    <row r="39" spans="1:27" s="4" customFormat="1" ht="51.95" customHeight="1">
      <c r="A39" s="5">
        <v>0</v>
      </c>
      <c r="B39" s="6" t="s">
        <v>299</v>
      </c>
      <c r="C39" s="7">
        <v>2162</v>
      </c>
      <c r="D39" s="8" t="s">
        <v>300</v>
      </c>
      <c r="E39" s="8" t="s">
        <v>301</v>
      </c>
      <c r="F39" s="8" t="s">
        <v>302</v>
      </c>
      <c r="G39" s="6" t="s">
        <v>83</v>
      </c>
      <c r="H39" s="6" t="s">
        <v>52</v>
      </c>
      <c r="I39" s="8"/>
      <c r="J39" s="9">
        <v>1</v>
      </c>
      <c r="K39" s="9">
        <v>360</v>
      </c>
      <c r="L39" s="9">
        <v>2024</v>
      </c>
      <c r="M39" s="8" t="s">
        <v>303</v>
      </c>
      <c r="N39" s="8" t="s">
        <v>74</v>
      </c>
      <c r="O39" s="8" t="s">
        <v>75</v>
      </c>
      <c r="P39" s="6" t="s">
        <v>176</v>
      </c>
      <c r="Q39" s="8" t="s">
        <v>56</v>
      </c>
      <c r="R39" s="10" t="s">
        <v>304</v>
      </c>
      <c r="S39" s="11" t="s">
        <v>305</v>
      </c>
      <c r="T39" s="6"/>
      <c r="U39" s="28" t="str">
        <f>HYPERLINK("https://media.infra-m.ru/2124/2124363/cover/2124363.jpg", "Обложка")</f>
        <v>Обложка</v>
      </c>
      <c r="V39" s="28" t="str">
        <f>HYPERLINK("https://znanium.ru/catalog/product/1834667", "Ознакомиться")</f>
        <v>Ознакомиться</v>
      </c>
      <c r="W39" s="8"/>
      <c r="X39" s="6"/>
      <c r="Y39" s="6"/>
      <c r="Z39" s="6"/>
      <c r="AA39" s="6" t="s">
        <v>306</v>
      </c>
    </row>
    <row r="40" spans="1:27" s="4" customFormat="1" ht="51.95" customHeight="1">
      <c r="A40" s="5">
        <v>0</v>
      </c>
      <c r="B40" s="6" t="s">
        <v>307</v>
      </c>
      <c r="C40" s="7">
        <v>2097</v>
      </c>
      <c r="D40" s="8" t="s">
        <v>308</v>
      </c>
      <c r="E40" s="8" t="s">
        <v>301</v>
      </c>
      <c r="F40" s="8" t="s">
        <v>302</v>
      </c>
      <c r="G40" s="6" t="s">
        <v>83</v>
      </c>
      <c r="H40" s="6" t="s">
        <v>52</v>
      </c>
      <c r="I40" s="8" t="s">
        <v>205</v>
      </c>
      <c r="J40" s="9">
        <v>1</v>
      </c>
      <c r="K40" s="9">
        <v>359</v>
      </c>
      <c r="L40" s="9">
        <v>2023</v>
      </c>
      <c r="M40" s="8" t="s">
        <v>309</v>
      </c>
      <c r="N40" s="8" t="s">
        <v>74</v>
      </c>
      <c r="O40" s="8" t="s">
        <v>75</v>
      </c>
      <c r="P40" s="6" t="s">
        <v>176</v>
      </c>
      <c r="Q40" s="8" t="s">
        <v>207</v>
      </c>
      <c r="R40" s="10" t="s">
        <v>310</v>
      </c>
      <c r="S40" s="11" t="s">
        <v>311</v>
      </c>
      <c r="T40" s="6"/>
      <c r="U40" s="28" t="str">
        <f>HYPERLINK("https://media.infra-m.ru/1891/1891782/cover/1891782.jpg", "Обложка")</f>
        <v>Обложка</v>
      </c>
      <c r="V40" s="28" t="str">
        <f>HYPERLINK("https://znanium.ru/catalog/product/1009557", "Ознакомиться")</f>
        <v>Ознакомиться</v>
      </c>
      <c r="W40" s="8"/>
      <c r="X40" s="6"/>
      <c r="Y40" s="6"/>
      <c r="Z40" s="6" t="s">
        <v>235</v>
      </c>
      <c r="AA40" s="6" t="s">
        <v>312</v>
      </c>
    </row>
    <row r="41" spans="1:27" s="4" customFormat="1" ht="44.1" customHeight="1">
      <c r="A41" s="5">
        <v>0</v>
      </c>
      <c r="B41" s="6" t="s">
        <v>313</v>
      </c>
      <c r="C41" s="13">
        <v>480</v>
      </c>
      <c r="D41" s="8" t="s">
        <v>314</v>
      </c>
      <c r="E41" s="8" t="s">
        <v>315</v>
      </c>
      <c r="F41" s="8" t="s">
        <v>316</v>
      </c>
      <c r="G41" s="6" t="s">
        <v>37</v>
      </c>
      <c r="H41" s="6" t="s">
        <v>317</v>
      </c>
      <c r="I41" s="8" t="s">
        <v>39</v>
      </c>
      <c r="J41" s="9">
        <v>1</v>
      </c>
      <c r="K41" s="9">
        <v>135</v>
      </c>
      <c r="L41" s="9">
        <v>2018</v>
      </c>
      <c r="M41" s="8" t="s">
        <v>318</v>
      </c>
      <c r="N41" s="8" t="s">
        <v>41</v>
      </c>
      <c r="O41" s="8" t="s">
        <v>65</v>
      </c>
      <c r="P41" s="6" t="s">
        <v>43</v>
      </c>
      <c r="Q41" s="8" t="s">
        <v>44</v>
      </c>
      <c r="R41" s="10" t="s">
        <v>319</v>
      </c>
      <c r="S41" s="11"/>
      <c r="T41" s="6"/>
      <c r="U41" s="28" t="str">
        <f>HYPERLINK("https://media.infra-m.ru/1040/1040436/cover/1040436.jpg", "Обложка")</f>
        <v>Обложка</v>
      </c>
      <c r="V41" s="28" t="str">
        <f>HYPERLINK("https://znanium.ru/catalog/product/1040436", "Ознакомиться")</f>
        <v>Ознакомиться</v>
      </c>
      <c r="W41" s="8" t="s">
        <v>320</v>
      </c>
      <c r="X41" s="6"/>
      <c r="Y41" s="6"/>
      <c r="Z41" s="6"/>
      <c r="AA41" s="6" t="s">
        <v>169</v>
      </c>
    </row>
    <row r="42" spans="1:27" s="4" customFormat="1" ht="42" customHeight="1">
      <c r="A42" s="5">
        <v>0</v>
      </c>
      <c r="B42" s="6" t="s">
        <v>321</v>
      </c>
      <c r="C42" s="13">
        <v>980</v>
      </c>
      <c r="D42" s="8" t="s">
        <v>322</v>
      </c>
      <c r="E42" s="8" t="s">
        <v>323</v>
      </c>
      <c r="F42" s="8" t="s">
        <v>324</v>
      </c>
      <c r="G42" s="6" t="s">
        <v>37</v>
      </c>
      <c r="H42" s="6" t="s">
        <v>38</v>
      </c>
      <c r="I42" s="8" t="s">
        <v>325</v>
      </c>
      <c r="J42" s="9">
        <v>1</v>
      </c>
      <c r="K42" s="9">
        <v>252</v>
      </c>
      <c r="L42" s="9">
        <v>2022</v>
      </c>
      <c r="M42" s="8" t="s">
        <v>326</v>
      </c>
      <c r="N42" s="8" t="s">
        <v>41</v>
      </c>
      <c r="O42" s="8" t="s">
        <v>65</v>
      </c>
      <c r="P42" s="6" t="s">
        <v>43</v>
      </c>
      <c r="Q42" s="8" t="s">
        <v>44</v>
      </c>
      <c r="R42" s="10" t="s">
        <v>148</v>
      </c>
      <c r="S42" s="11"/>
      <c r="T42" s="6"/>
      <c r="U42" s="28" t="str">
        <f>HYPERLINK("https://media.infra-m.ru/1831/1831187/cover/1831187.jpg", "Обложка")</f>
        <v>Обложка</v>
      </c>
      <c r="V42" s="12"/>
      <c r="W42" s="8" t="s">
        <v>327</v>
      </c>
      <c r="X42" s="6"/>
      <c r="Y42" s="6"/>
      <c r="Z42" s="6"/>
      <c r="AA42" s="6" t="s">
        <v>68</v>
      </c>
    </row>
    <row r="43" spans="1:27" s="4" customFormat="1" ht="51.95" customHeight="1">
      <c r="A43" s="5">
        <v>0</v>
      </c>
      <c r="B43" s="6" t="s">
        <v>328</v>
      </c>
      <c r="C43" s="13">
        <v>390</v>
      </c>
      <c r="D43" s="8" t="s">
        <v>329</v>
      </c>
      <c r="E43" s="8" t="s">
        <v>330</v>
      </c>
      <c r="F43" s="8" t="s">
        <v>331</v>
      </c>
      <c r="G43" s="6" t="s">
        <v>37</v>
      </c>
      <c r="H43" s="6" t="s">
        <v>38</v>
      </c>
      <c r="I43" s="8" t="s">
        <v>39</v>
      </c>
      <c r="J43" s="9">
        <v>1</v>
      </c>
      <c r="K43" s="9">
        <v>124</v>
      </c>
      <c r="L43" s="9">
        <v>2017</v>
      </c>
      <c r="M43" s="8" t="s">
        <v>332</v>
      </c>
      <c r="N43" s="8" t="s">
        <v>41</v>
      </c>
      <c r="O43" s="8" t="s">
        <v>65</v>
      </c>
      <c r="P43" s="6" t="s">
        <v>43</v>
      </c>
      <c r="Q43" s="8" t="s">
        <v>44</v>
      </c>
      <c r="R43" s="10" t="s">
        <v>333</v>
      </c>
      <c r="S43" s="11"/>
      <c r="T43" s="6"/>
      <c r="U43" s="28" t="str">
        <f>HYPERLINK("https://media.infra-m.ru/0559/0559339/cover/559339.jpg", "Обложка")</f>
        <v>Обложка</v>
      </c>
      <c r="V43" s="28" t="str">
        <f>HYPERLINK("https://znanium.ru/catalog/product/2136084", "Ознакомиться")</f>
        <v>Ознакомиться</v>
      </c>
      <c r="W43" s="8" t="s">
        <v>297</v>
      </c>
      <c r="X43" s="6"/>
      <c r="Y43" s="6"/>
      <c r="Z43" s="6"/>
      <c r="AA43" s="6" t="s">
        <v>290</v>
      </c>
    </row>
    <row r="44" spans="1:27" s="4" customFormat="1" ht="51.95" customHeight="1">
      <c r="A44" s="5">
        <v>0</v>
      </c>
      <c r="B44" s="6" t="s">
        <v>334</v>
      </c>
      <c r="C44" s="13">
        <v>970</v>
      </c>
      <c r="D44" s="8" t="s">
        <v>335</v>
      </c>
      <c r="E44" s="8" t="s">
        <v>336</v>
      </c>
      <c r="F44" s="8" t="s">
        <v>337</v>
      </c>
      <c r="G44" s="6" t="s">
        <v>83</v>
      </c>
      <c r="H44" s="6" t="s">
        <v>38</v>
      </c>
      <c r="I44" s="8" t="s">
        <v>205</v>
      </c>
      <c r="J44" s="9">
        <v>1</v>
      </c>
      <c r="K44" s="9">
        <v>209</v>
      </c>
      <c r="L44" s="9">
        <v>2024</v>
      </c>
      <c r="M44" s="8" t="s">
        <v>338</v>
      </c>
      <c r="N44" s="8" t="s">
        <v>74</v>
      </c>
      <c r="O44" s="8" t="s">
        <v>109</v>
      </c>
      <c r="P44" s="6" t="s">
        <v>55</v>
      </c>
      <c r="Q44" s="8" t="s">
        <v>207</v>
      </c>
      <c r="R44" s="10" t="s">
        <v>339</v>
      </c>
      <c r="S44" s="11" t="s">
        <v>340</v>
      </c>
      <c r="T44" s="6"/>
      <c r="U44" s="28" t="str">
        <f>HYPERLINK("https://media.infra-m.ru/2102/2102665/cover/2102665.jpg", "Обложка")</f>
        <v>Обложка</v>
      </c>
      <c r="V44" s="28" t="str">
        <f>HYPERLINK("https://znanium.ru/catalog/product/2102665", "Ознакомиться")</f>
        <v>Ознакомиться</v>
      </c>
      <c r="W44" s="8" t="s">
        <v>341</v>
      </c>
      <c r="X44" s="6"/>
      <c r="Y44" s="6"/>
      <c r="Z44" s="6" t="s">
        <v>235</v>
      </c>
      <c r="AA44" s="6" t="s">
        <v>68</v>
      </c>
    </row>
    <row r="45" spans="1:27" s="4" customFormat="1" ht="51.95" customHeight="1">
      <c r="A45" s="5">
        <v>0</v>
      </c>
      <c r="B45" s="6" t="s">
        <v>342</v>
      </c>
      <c r="C45" s="13">
        <v>934</v>
      </c>
      <c r="D45" s="8" t="s">
        <v>343</v>
      </c>
      <c r="E45" s="8" t="s">
        <v>336</v>
      </c>
      <c r="F45" s="8" t="s">
        <v>344</v>
      </c>
      <c r="G45" s="6" t="s">
        <v>37</v>
      </c>
      <c r="H45" s="6" t="s">
        <v>52</v>
      </c>
      <c r="I45" s="8"/>
      <c r="J45" s="9">
        <v>1</v>
      </c>
      <c r="K45" s="9">
        <v>208</v>
      </c>
      <c r="L45" s="9">
        <v>2023</v>
      </c>
      <c r="M45" s="8" t="s">
        <v>345</v>
      </c>
      <c r="N45" s="8" t="s">
        <v>74</v>
      </c>
      <c r="O45" s="8" t="s">
        <v>109</v>
      </c>
      <c r="P45" s="6" t="s">
        <v>55</v>
      </c>
      <c r="Q45" s="8" t="s">
        <v>56</v>
      </c>
      <c r="R45" s="10" t="s">
        <v>346</v>
      </c>
      <c r="S45" s="11" t="s">
        <v>347</v>
      </c>
      <c r="T45" s="6"/>
      <c r="U45" s="28" t="str">
        <f>HYPERLINK("https://media.infra-m.ru/1841/1841678/cover/1841678.jpg", "Обложка")</f>
        <v>Обложка</v>
      </c>
      <c r="V45" s="12"/>
      <c r="W45" s="8" t="s">
        <v>341</v>
      </c>
      <c r="X45" s="6"/>
      <c r="Y45" s="6"/>
      <c r="Z45" s="6"/>
      <c r="AA45" s="6" t="s">
        <v>96</v>
      </c>
    </row>
    <row r="46" spans="1:27" s="4" customFormat="1" ht="51.95" customHeight="1">
      <c r="A46" s="5">
        <v>0</v>
      </c>
      <c r="B46" s="6" t="s">
        <v>348</v>
      </c>
      <c r="C46" s="13">
        <v>864.9</v>
      </c>
      <c r="D46" s="8" t="s">
        <v>349</v>
      </c>
      <c r="E46" s="8" t="s">
        <v>350</v>
      </c>
      <c r="F46" s="8" t="s">
        <v>351</v>
      </c>
      <c r="G46" s="6" t="s">
        <v>37</v>
      </c>
      <c r="H46" s="6" t="s">
        <v>52</v>
      </c>
      <c r="I46" s="8"/>
      <c r="J46" s="9">
        <v>1</v>
      </c>
      <c r="K46" s="9">
        <v>192</v>
      </c>
      <c r="L46" s="9">
        <v>2023</v>
      </c>
      <c r="M46" s="8" t="s">
        <v>352</v>
      </c>
      <c r="N46" s="8" t="s">
        <v>74</v>
      </c>
      <c r="O46" s="8" t="s">
        <v>109</v>
      </c>
      <c r="P46" s="6" t="s">
        <v>55</v>
      </c>
      <c r="Q46" s="8" t="s">
        <v>56</v>
      </c>
      <c r="R46" s="10" t="s">
        <v>353</v>
      </c>
      <c r="S46" s="11" t="s">
        <v>354</v>
      </c>
      <c r="T46" s="6"/>
      <c r="U46" s="28" t="str">
        <f>HYPERLINK("https://media.infra-m.ru/1917/1917667/cover/1917667.jpg", "Обложка")</f>
        <v>Обложка</v>
      </c>
      <c r="V46" s="28" t="str">
        <f>HYPERLINK("https://znanium.ru/catalog/product/959860", "Ознакомиться")</f>
        <v>Ознакомиться</v>
      </c>
      <c r="W46" s="8" t="s">
        <v>355</v>
      </c>
      <c r="X46" s="6"/>
      <c r="Y46" s="6"/>
      <c r="Z46" s="6"/>
      <c r="AA46" s="6" t="s">
        <v>59</v>
      </c>
    </row>
    <row r="47" spans="1:27" s="4" customFormat="1" ht="51.95" customHeight="1">
      <c r="A47" s="5">
        <v>0</v>
      </c>
      <c r="B47" s="6" t="s">
        <v>356</v>
      </c>
      <c r="C47" s="13">
        <v>709.9</v>
      </c>
      <c r="D47" s="8" t="s">
        <v>357</v>
      </c>
      <c r="E47" s="8" t="s">
        <v>358</v>
      </c>
      <c r="F47" s="8" t="s">
        <v>359</v>
      </c>
      <c r="G47" s="6" t="s">
        <v>360</v>
      </c>
      <c r="H47" s="6" t="s">
        <v>38</v>
      </c>
      <c r="I47" s="8" t="s">
        <v>39</v>
      </c>
      <c r="J47" s="9">
        <v>20</v>
      </c>
      <c r="K47" s="9">
        <v>228</v>
      </c>
      <c r="L47" s="9">
        <v>2016</v>
      </c>
      <c r="M47" s="8" t="s">
        <v>361</v>
      </c>
      <c r="N47" s="8" t="s">
        <v>41</v>
      </c>
      <c r="O47" s="8" t="s">
        <v>54</v>
      </c>
      <c r="P47" s="6" t="s">
        <v>43</v>
      </c>
      <c r="Q47" s="8" t="s">
        <v>44</v>
      </c>
      <c r="R47" s="10" t="s">
        <v>362</v>
      </c>
      <c r="S47" s="11"/>
      <c r="T47" s="6"/>
      <c r="U47" s="28" t="str">
        <f>HYPERLINK("https://media.infra-m.ru/0524/0524403/cover/524403.jpg", "Обложка")</f>
        <v>Обложка</v>
      </c>
      <c r="V47" s="28" t="str">
        <f>HYPERLINK("https://znanium.ru/catalog/product/524403", "Ознакомиться")</f>
        <v>Ознакомиться</v>
      </c>
      <c r="W47" s="8" t="s">
        <v>363</v>
      </c>
      <c r="X47" s="6"/>
      <c r="Y47" s="6"/>
      <c r="Z47" s="6"/>
      <c r="AA47" s="6" t="s">
        <v>364</v>
      </c>
    </row>
    <row r="48" spans="1:27" s="4" customFormat="1" ht="44.1" customHeight="1">
      <c r="A48" s="5">
        <v>0</v>
      </c>
      <c r="B48" s="6" t="s">
        <v>365</v>
      </c>
      <c r="C48" s="13">
        <v>794</v>
      </c>
      <c r="D48" s="8" t="s">
        <v>366</v>
      </c>
      <c r="E48" s="8" t="s">
        <v>367</v>
      </c>
      <c r="F48" s="8" t="s">
        <v>368</v>
      </c>
      <c r="G48" s="6" t="s">
        <v>37</v>
      </c>
      <c r="H48" s="6" t="s">
        <v>38</v>
      </c>
      <c r="I48" s="8" t="s">
        <v>39</v>
      </c>
      <c r="J48" s="9">
        <v>1</v>
      </c>
      <c r="K48" s="9">
        <v>157</v>
      </c>
      <c r="L48" s="9">
        <v>2023</v>
      </c>
      <c r="M48" s="8" t="s">
        <v>369</v>
      </c>
      <c r="N48" s="8" t="s">
        <v>41</v>
      </c>
      <c r="O48" s="8" t="s">
        <v>42</v>
      </c>
      <c r="P48" s="6" t="s">
        <v>43</v>
      </c>
      <c r="Q48" s="8" t="s">
        <v>44</v>
      </c>
      <c r="R48" s="10" t="s">
        <v>370</v>
      </c>
      <c r="S48" s="11"/>
      <c r="T48" s="6"/>
      <c r="U48" s="28" t="str">
        <f>HYPERLINK("https://media.infra-m.ru/2080/2080762/cover/2080762.jpg", "Обложка")</f>
        <v>Обложка</v>
      </c>
      <c r="V48" s="28" t="str">
        <f>HYPERLINK("https://znanium.ru/catalog/product/1914767", "Ознакомиться")</f>
        <v>Ознакомиться</v>
      </c>
      <c r="W48" s="8" t="s">
        <v>371</v>
      </c>
      <c r="X48" s="6"/>
      <c r="Y48" s="6"/>
      <c r="Z48" s="6"/>
      <c r="AA48" s="6" t="s">
        <v>372</v>
      </c>
    </row>
    <row r="49" spans="1:27" s="4" customFormat="1" ht="51.95" customHeight="1">
      <c r="A49" s="5">
        <v>0</v>
      </c>
      <c r="B49" s="6" t="s">
        <v>373</v>
      </c>
      <c r="C49" s="13">
        <v>594</v>
      </c>
      <c r="D49" s="8" t="s">
        <v>374</v>
      </c>
      <c r="E49" s="8" t="s">
        <v>375</v>
      </c>
      <c r="F49" s="8" t="s">
        <v>376</v>
      </c>
      <c r="G49" s="6" t="s">
        <v>37</v>
      </c>
      <c r="H49" s="6" t="s">
        <v>52</v>
      </c>
      <c r="I49" s="8"/>
      <c r="J49" s="9">
        <v>1</v>
      </c>
      <c r="K49" s="9">
        <v>112</v>
      </c>
      <c r="L49" s="9">
        <v>2023</v>
      </c>
      <c r="M49" s="8" t="s">
        <v>377</v>
      </c>
      <c r="N49" s="8" t="s">
        <v>41</v>
      </c>
      <c r="O49" s="8" t="s">
        <v>65</v>
      </c>
      <c r="P49" s="6" t="s">
        <v>378</v>
      </c>
      <c r="Q49" s="8" t="s">
        <v>44</v>
      </c>
      <c r="R49" s="10" t="s">
        <v>379</v>
      </c>
      <c r="S49" s="11"/>
      <c r="T49" s="6"/>
      <c r="U49" s="28" t="str">
        <f>HYPERLINK("https://media.infra-m.ru/2126/2126585/cover/2126585.jpg", "Обложка")</f>
        <v>Обложка</v>
      </c>
      <c r="V49" s="28" t="str">
        <f>HYPERLINK("https://znanium.ru/catalog/product/2125533", "Ознакомиться")</f>
        <v>Ознакомиться</v>
      </c>
      <c r="W49" s="8" t="s">
        <v>380</v>
      </c>
      <c r="X49" s="6"/>
      <c r="Y49" s="6"/>
      <c r="Z49" s="6"/>
      <c r="AA49" s="6" t="s">
        <v>381</v>
      </c>
    </row>
    <row r="50" spans="1:27" s="4" customFormat="1" ht="51.95" customHeight="1">
      <c r="A50" s="5">
        <v>0</v>
      </c>
      <c r="B50" s="6" t="s">
        <v>382</v>
      </c>
      <c r="C50" s="13">
        <v>320</v>
      </c>
      <c r="D50" s="8" t="s">
        <v>383</v>
      </c>
      <c r="E50" s="8" t="s">
        <v>384</v>
      </c>
      <c r="F50" s="8" t="s">
        <v>385</v>
      </c>
      <c r="G50" s="6" t="s">
        <v>37</v>
      </c>
      <c r="H50" s="6" t="s">
        <v>38</v>
      </c>
      <c r="I50" s="8" t="s">
        <v>39</v>
      </c>
      <c r="J50" s="9">
        <v>1</v>
      </c>
      <c r="K50" s="9">
        <v>82</v>
      </c>
      <c r="L50" s="9">
        <v>2022</v>
      </c>
      <c r="M50" s="8" t="s">
        <v>386</v>
      </c>
      <c r="N50" s="8" t="s">
        <v>74</v>
      </c>
      <c r="O50" s="8" t="s">
        <v>75</v>
      </c>
      <c r="P50" s="6" t="s">
        <v>43</v>
      </c>
      <c r="Q50" s="8" t="s">
        <v>44</v>
      </c>
      <c r="R50" s="10" t="s">
        <v>387</v>
      </c>
      <c r="S50" s="11"/>
      <c r="T50" s="6"/>
      <c r="U50" s="28" t="str">
        <f>HYPERLINK("https://media.infra-m.ru/1862/1862662/cover/1862662.jpg", "Обложка")</f>
        <v>Обложка</v>
      </c>
      <c r="V50" s="28" t="str">
        <f>HYPERLINK("https://znanium.ru/catalog/product/1862662", "Ознакомиться")</f>
        <v>Ознакомиться</v>
      </c>
      <c r="W50" s="8" t="s">
        <v>388</v>
      </c>
      <c r="X50" s="6"/>
      <c r="Y50" s="6"/>
      <c r="Z50" s="6"/>
      <c r="AA50" s="6" t="s">
        <v>68</v>
      </c>
    </row>
    <row r="51" spans="1:27" s="4" customFormat="1" ht="44.1" customHeight="1">
      <c r="A51" s="5">
        <v>0</v>
      </c>
      <c r="B51" s="6" t="s">
        <v>389</v>
      </c>
      <c r="C51" s="7">
        <v>1150</v>
      </c>
      <c r="D51" s="8" t="s">
        <v>390</v>
      </c>
      <c r="E51" s="8" t="s">
        <v>391</v>
      </c>
      <c r="F51" s="8" t="s">
        <v>392</v>
      </c>
      <c r="G51" s="6" t="s">
        <v>123</v>
      </c>
      <c r="H51" s="6" t="s">
        <v>38</v>
      </c>
      <c r="I51" s="8" t="s">
        <v>39</v>
      </c>
      <c r="J51" s="9">
        <v>1</v>
      </c>
      <c r="K51" s="9">
        <v>244</v>
      </c>
      <c r="L51" s="9">
        <v>2023</v>
      </c>
      <c r="M51" s="8" t="s">
        <v>393</v>
      </c>
      <c r="N51" s="8" t="s">
        <v>74</v>
      </c>
      <c r="O51" s="8" t="s">
        <v>394</v>
      </c>
      <c r="P51" s="6" t="s">
        <v>43</v>
      </c>
      <c r="Q51" s="8" t="s">
        <v>44</v>
      </c>
      <c r="R51" s="10" t="s">
        <v>395</v>
      </c>
      <c r="S51" s="11"/>
      <c r="T51" s="6"/>
      <c r="U51" s="28" t="str">
        <f>HYPERLINK("https://media.infra-m.ru/1903/1903337/cover/1903337.jpg", "Обложка")</f>
        <v>Обложка</v>
      </c>
      <c r="V51" s="28" t="str">
        <f>HYPERLINK("https://znanium.ru/catalog/product/1903337", "Ознакомиться")</f>
        <v>Ознакомиться</v>
      </c>
      <c r="W51" s="8" t="s">
        <v>396</v>
      </c>
      <c r="X51" s="6" t="s">
        <v>219</v>
      </c>
      <c r="Y51" s="6"/>
      <c r="Z51" s="6"/>
      <c r="AA51" s="6" t="s">
        <v>111</v>
      </c>
    </row>
    <row r="52" spans="1:27" s="4" customFormat="1" ht="42" customHeight="1">
      <c r="A52" s="5">
        <v>0</v>
      </c>
      <c r="B52" s="6" t="s">
        <v>397</v>
      </c>
      <c r="C52" s="7">
        <v>1400</v>
      </c>
      <c r="D52" s="8" t="s">
        <v>398</v>
      </c>
      <c r="E52" s="8" t="s">
        <v>399</v>
      </c>
      <c r="F52" s="8" t="s">
        <v>400</v>
      </c>
      <c r="G52" s="6" t="s">
        <v>37</v>
      </c>
      <c r="H52" s="6" t="s">
        <v>38</v>
      </c>
      <c r="I52" s="8" t="s">
        <v>39</v>
      </c>
      <c r="J52" s="9">
        <v>1</v>
      </c>
      <c r="K52" s="9">
        <v>370</v>
      </c>
      <c r="L52" s="9">
        <v>2021</v>
      </c>
      <c r="M52" s="8" t="s">
        <v>401</v>
      </c>
      <c r="N52" s="8" t="s">
        <v>74</v>
      </c>
      <c r="O52" s="8" t="s">
        <v>93</v>
      </c>
      <c r="P52" s="6" t="s">
        <v>43</v>
      </c>
      <c r="Q52" s="8" t="s">
        <v>44</v>
      </c>
      <c r="R52" s="10" t="s">
        <v>225</v>
      </c>
      <c r="S52" s="11"/>
      <c r="T52" s="6"/>
      <c r="U52" s="28" t="str">
        <f>HYPERLINK("https://media.infra-m.ru/1487/1487716/cover/1487716.jpg", "Обложка")</f>
        <v>Обложка</v>
      </c>
      <c r="V52" s="28" t="str">
        <f>HYPERLINK("https://znanium.ru/catalog/product/1487716", "Ознакомиться")</f>
        <v>Ознакомиться</v>
      </c>
      <c r="W52" s="8" t="s">
        <v>402</v>
      </c>
      <c r="X52" s="6"/>
      <c r="Y52" s="6"/>
      <c r="Z52" s="6"/>
      <c r="AA52" s="6" t="s">
        <v>193</v>
      </c>
    </row>
    <row r="53" spans="1:27" s="4" customFormat="1" ht="51.95" customHeight="1">
      <c r="A53" s="5">
        <v>0</v>
      </c>
      <c r="B53" s="6" t="s">
        <v>403</v>
      </c>
      <c r="C53" s="13">
        <v>890</v>
      </c>
      <c r="D53" s="8" t="s">
        <v>404</v>
      </c>
      <c r="E53" s="8" t="s">
        <v>405</v>
      </c>
      <c r="F53" s="8" t="s">
        <v>406</v>
      </c>
      <c r="G53" s="6" t="s">
        <v>83</v>
      </c>
      <c r="H53" s="6" t="s">
        <v>38</v>
      </c>
      <c r="I53" s="8" t="s">
        <v>39</v>
      </c>
      <c r="J53" s="9">
        <v>1</v>
      </c>
      <c r="K53" s="9">
        <v>188</v>
      </c>
      <c r="L53" s="9">
        <v>2022</v>
      </c>
      <c r="M53" s="8" t="s">
        <v>407</v>
      </c>
      <c r="N53" s="8" t="s">
        <v>74</v>
      </c>
      <c r="O53" s="8" t="s">
        <v>75</v>
      </c>
      <c r="P53" s="6" t="s">
        <v>43</v>
      </c>
      <c r="Q53" s="8" t="s">
        <v>44</v>
      </c>
      <c r="R53" s="10" t="s">
        <v>408</v>
      </c>
      <c r="S53" s="11"/>
      <c r="T53" s="6"/>
      <c r="U53" s="28" t="str">
        <f>HYPERLINK("https://media.infra-m.ru/1850/1850128/cover/1850128.jpg", "Обложка")</f>
        <v>Обложка</v>
      </c>
      <c r="V53" s="28" t="str">
        <f>HYPERLINK("https://znanium.ru/catalog/product/1850128", "Ознакомиться")</f>
        <v>Ознакомиться</v>
      </c>
      <c r="W53" s="8" t="s">
        <v>409</v>
      </c>
      <c r="X53" s="6"/>
      <c r="Y53" s="6"/>
      <c r="Z53" s="6"/>
      <c r="AA53" s="6" t="s">
        <v>169</v>
      </c>
    </row>
    <row r="54" spans="1:27" s="4" customFormat="1" ht="42" customHeight="1">
      <c r="A54" s="5">
        <v>0</v>
      </c>
      <c r="B54" s="6" t="s">
        <v>410</v>
      </c>
      <c r="C54" s="7">
        <v>1590</v>
      </c>
      <c r="D54" s="8" t="s">
        <v>411</v>
      </c>
      <c r="E54" s="8" t="s">
        <v>412</v>
      </c>
      <c r="F54" s="8" t="s">
        <v>413</v>
      </c>
      <c r="G54" s="6" t="s">
        <v>83</v>
      </c>
      <c r="H54" s="6" t="s">
        <v>38</v>
      </c>
      <c r="I54" s="8" t="s">
        <v>39</v>
      </c>
      <c r="J54" s="9">
        <v>1</v>
      </c>
      <c r="K54" s="9">
        <v>419</v>
      </c>
      <c r="L54" s="9">
        <v>2021</v>
      </c>
      <c r="M54" s="8" t="s">
        <v>414</v>
      </c>
      <c r="N54" s="8" t="s">
        <v>41</v>
      </c>
      <c r="O54" s="8" t="s">
        <v>65</v>
      </c>
      <c r="P54" s="6" t="s">
        <v>43</v>
      </c>
      <c r="Q54" s="8" t="s">
        <v>44</v>
      </c>
      <c r="R54" s="10" t="s">
        <v>415</v>
      </c>
      <c r="S54" s="11"/>
      <c r="T54" s="6"/>
      <c r="U54" s="28" t="str">
        <f>HYPERLINK("https://media.infra-m.ru/1680/1680618/cover/1680618.jpg", "Обложка")</f>
        <v>Обложка</v>
      </c>
      <c r="V54" s="28" t="str">
        <f>HYPERLINK("https://znanium.ru/catalog/product/1680618", "Ознакомиться")</f>
        <v>Ознакомиться</v>
      </c>
      <c r="W54" s="8" t="s">
        <v>416</v>
      </c>
      <c r="X54" s="6"/>
      <c r="Y54" s="6"/>
      <c r="Z54" s="6"/>
      <c r="AA54" s="6" t="s">
        <v>68</v>
      </c>
    </row>
    <row r="55" spans="1:27" s="4" customFormat="1" ht="51.95" customHeight="1">
      <c r="A55" s="5">
        <v>0</v>
      </c>
      <c r="B55" s="6" t="s">
        <v>417</v>
      </c>
      <c r="C55" s="13">
        <v>734.9</v>
      </c>
      <c r="D55" s="8" t="s">
        <v>418</v>
      </c>
      <c r="E55" s="8" t="s">
        <v>419</v>
      </c>
      <c r="F55" s="8" t="s">
        <v>420</v>
      </c>
      <c r="G55" s="6" t="s">
        <v>37</v>
      </c>
      <c r="H55" s="6" t="s">
        <v>38</v>
      </c>
      <c r="I55" s="8" t="s">
        <v>39</v>
      </c>
      <c r="J55" s="9">
        <v>1</v>
      </c>
      <c r="K55" s="9">
        <v>211</v>
      </c>
      <c r="L55" s="9">
        <v>2020</v>
      </c>
      <c r="M55" s="8" t="s">
        <v>421</v>
      </c>
      <c r="N55" s="8" t="s">
        <v>41</v>
      </c>
      <c r="O55" s="8" t="s">
        <v>65</v>
      </c>
      <c r="P55" s="6" t="s">
        <v>43</v>
      </c>
      <c r="Q55" s="8" t="s">
        <v>44</v>
      </c>
      <c r="R55" s="10" t="s">
        <v>422</v>
      </c>
      <c r="S55" s="11"/>
      <c r="T55" s="6"/>
      <c r="U55" s="28" t="str">
        <f>HYPERLINK("https://media.infra-m.ru/1084/1084327/cover/1084327.jpg", "Обложка")</f>
        <v>Обложка</v>
      </c>
      <c r="V55" s="28" t="str">
        <f>HYPERLINK("https://znanium.ru/catalog/product/908348", "Ознакомиться")</f>
        <v>Ознакомиться</v>
      </c>
      <c r="W55" s="8" t="s">
        <v>423</v>
      </c>
      <c r="X55" s="6"/>
      <c r="Y55" s="6"/>
      <c r="Z55" s="6"/>
      <c r="AA55" s="6" t="s">
        <v>364</v>
      </c>
    </row>
    <row r="56" spans="1:27" s="4" customFormat="1" ht="44.1" customHeight="1">
      <c r="A56" s="5">
        <v>0</v>
      </c>
      <c r="B56" s="6" t="s">
        <v>424</v>
      </c>
      <c r="C56" s="7">
        <v>1230</v>
      </c>
      <c r="D56" s="8" t="s">
        <v>425</v>
      </c>
      <c r="E56" s="8" t="s">
        <v>426</v>
      </c>
      <c r="F56" s="8" t="s">
        <v>420</v>
      </c>
      <c r="G56" s="6" t="s">
        <v>37</v>
      </c>
      <c r="H56" s="6" t="s">
        <v>38</v>
      </c>
      <c r="I56" s="8" t="s">
        <v>39</v>
      </c>
      <c r="J56" s="9">
        <v>1</v>
      </c>
      <c r="K56" s="9">
        <v>378</v>
      </c>
      <c r="L56" s="9">
        <v>2019</v>
      </c>
      <c r="M56" s="8" t="s">
        <v>427</v>
      </c>
      <c r="N56" s="8" t="s">
        <v>41</v>
      </c>
      <c r="O56" s="8" t="s">
        <v>65</v>
      </c>
      <c r="P56" s="6" t="s">
        <v>43</v>
      </c>
      <c r="Q56" s="8" t="s">
        <v>44</v>
      </c>
      <c r="R56" s="10" t="s">
        <v>428</v>
      </c>
      <c r="S56" s="11"/>
      <c r="T56" s="6"/>
      <c r="U56" s="28" t="str">
        <f>HYPERLINK("https://media.infra-m.ru/1009/1009386/cover/1009386.jpg", "Обложка")</f>
        <v>Обложка</v>
      </c>
      <c r="V56" s="28" t="str">
        <f>HYPERLINK("https://znanium.ru/catalog/product/1009386", "Ознакомиться")</f>
        <v>Ознакомиться</v>
      </c>
      <c r="W56" s="8" t="s">
        <v>423</v>
      </c>
      <c r="X56" s="6"/>
      <c r="Y56" s="6"/>
      <c r="Z56" s="6"/>
      <c r="AA56" s="6" t="s">
        <v>381</v>
      </c>
    </row>
    <row r="57" spans="1:27" s="4" customFormat="1" ht="51.95" customHeight="1">
      <c r="A57" s="5">
        <v>0</v>
      </c>
      <c r="B57" s="6" t="s">
        <v>429</v>
      </c>
      <c r="C57" s="13">
        <v>710</v>
      </c>
      <c r="D57" s="8" t="s">
        <v>430</v>
      </c>
      <c r="E57" s="8" t="s">
        <v>431</v>
      </c>
      <c r="F57" s="8" t="s">
        <v>432</v>
      </c>
      <c r="G57" s="6" t="s">
        <v>37</v>
      </c>
      <c r="H57" s="6" t="s">
        <v>38</v>
      </c>
      <c r="I57" s="8" t="s">
        <v>39</v>
      </c>
      <c r="J57" s="9">
        <v>1</v>
      </c>
      <c r="K57" s="9">
        <v>210</v>
      </c>
      <c r="L57" s="9">
        <v>2019</v>
      </c>
      <c r="M57" s="8" t="s">
        <v>433</v>
      </c>
      <c r="N57" s="8" t="s">
        <v>74</v>
      </c>
      <c r="O57" s="8" t="s">
        <v>93</v>
      </c>
      <c r="P57" s="6" t="s">
        <v>43</v>
      </c>
      <c r="Q57" s="8" t="s">
        <v>44</v>
      </c>
      <c r="R57" s="10" t="s">
        <v>94</v>
      </c>
      <c r="S57" s="11"/>
      <c r="T57" s="6"/>
      <c r="U57" s="28" t="str">
        <f>HYPERLINK("https://media.infra-m.ru/0989/0989370/cover/989370.jpg", "Обложка")</f>
        <v>Обложка</v>
      </c>
      <c r="V57" s="28" t="str">
        <f>HYPERLINK("https://znanium.ru/catalog/product/989370", "Ознакомиться")</f>
        <v>Ознакомиться</v>
      </c>
      <c r="W57" s="8" t="s">
        <v>434</v>
      </c>
      <c r="X57" s="6"/>
      <c r="Y57" s="6"/>
      <c r="Z57" s="6"/>
      <c r="AA57" s="6" t="s">
        <v>290</v>
      </c>
    </row>
    <row r="58" spans="1:27" s="4" customFormat="1" ht="51.95" customHeight="1">
      <c r="A58" s="5">
        <v>0</v>
      </c>
      <c r="B58" s="6" t="s">
        <v>435</v>
      </c>
      <c r="C58" s="7">
        <v>1050</v>
      </c>
      <c r="D58" s="8" t="s">
        <v>436</v>
      </c>
      <c r="E58" s="8" t="s">
        <v>437</v>
      </c>
      <c r="F58" s="8" t="s">
        <v>438</v>
      </c>
      <c r="G58" s="6" t="s">
        <v>83</v>
      </c>
      <c r="H58" s="6" t="s">
        <v>38</v>
      </c>
      <c r="I58" s="8" t="s">
        <v>155</v>
      </c>
      <c r="J58" s="9">
        <v>1</v>
      </c>
      <c r="K58" s="9">
        <v>210</v>
      </c>
      <c r="L58" s="9">
        <v>2024</v>
      </c>
      <c r="M58" s="8" t="s">
        <v>439</v>
      </c>
      <c r="N58" s="8" t="s">
        <v>41</v>
      </c>
      <c r="O58" s="8" t="s">
        <v>54</v>
      </c>
      <c r="P58" s="6" t="s">
        <v>55</v>
      </c>
      <c r="Q58" s="8" t="s">
        <v>56</v>
      </c>
      <c r="R58" s="10" t="s">
        <v>440</v>
      </c>
      <c r="S58" s="11"/>
      <c r="T58" s="6"/>
      <c r="U58" s="28" t="str">
        <f>HYPERLINK("https://media.infra-m.ru/2130/2130384/cover/2130384.jpg", "Обложка")</f>
        <v>Обложка</v>
      </c>
      <c r="V58" s="28" t="str">
        <f>HYPERLINK("https://znanium.ru/catalog/product/2130384", "Ознакомиться")</f>
        <v>Ознакомиться</v>
      </c>
      <c r="W58" s="8" t="s">
        <v>441</v>
      </c>
      <c r="X58" s="6"/>
      <c r="Y58" s="6"/>
      <c r="Z58" s="6"/>
      <c r="AA58" s="6" t="s">
        <v>111</v>
      </c>
    </row>
    <row r="59" spans="1:27" s="4" customFormat="1" ht="51.95" customHeight="1">
      <c r="A59" s="5">
        <v>0</v>
      </c>
      <c r="B59" s="6" t="s">
        <v>442</v>
      </c>
      <c r="C59" s="13">
        <v>834</v>
      </c>
      <c r="D59" s="8" t="s">
        <v>443</v>
      </c>
      <c r="E59" s="8" t="s">
        <v>444</v>
      </c>
      <c r="F59" s="8" t="s">
        <v>445</v>
      </c>
      <c r="G59" s="6" t="s">
        <v>83</v>
      </c>
      <c r="H59" s="6" t="s">
        <v>38</v>
      </c>
      <c r="I59" s="8" t="s">
        <v>39</v>
      </c>
      <c r="J59" s="9">
        <v>1</v>
      </c>
      <c r="K59" s="9">
        <v>176</v>
      </c>
      <c r="L59" s="9">
        <v>2024</v>
      </c>
      <c r="M59" s="8" t="s">
        <v>446</v>
      </c>
      <c r="N59" s="8" t="s">
        <v>74</v>
      </c>
      <c r="O59" s="8" t="s">
        <v>75</v>
      </c>
      <c r="P59" s="6" t="s">
        <v>43</v>
      </c>
      <c r="Q59" s="8" t="s">
        <v>44</v>
      </c>
      <c r="R59" s="10" t="s">
        <v>447</v>
      </c>
      <c r="S59" s="11"/>
      <c r="T59" s="6"/>
      <c r="U59" s="28" t="str">
        <f>HYPERLINK("https://media.infra-m.ru/2110/2110066/cover/2110066.jpg", "Обложка")</f>
        <v>Обложка</v>
      </c>
      <c r="V59" s="28" t="str">
        <f>HYPERLINK("https://znanium.ru/catalog/product/1541978", "Ознакомиться")</f>
        <v>Ознакомиться</v>
      </c>
      <c r="W59" s="8" t="s">
        <v>448</v>
      </c>
      <c r="X59" s="6"/>
      <c r="Y59" s="6"/>
      <c r="Z59" s="6"/>
      <c r="AA59" s="6" t="s">
        <v>68</v>
      </c>
    </row>
    <row r="60" spans="1:27" s="4" customFormat="1" ht="51.95" customHeight="1">
      <c r="A60" s="5">
        <v>0</v>
      </c>
      <c r="B60" s="6" t="s">
        <v>449</v>
      </c>
      <c r="C60" s="13">
        <v>590</v>
      </c>
      <c r="D60" s="8" t="s">
        <v>450</v>
      </c>
      <c r="E60" s="8" t="s">
        <v>451</v>
      </c>
      <c r="F60" s="8" t="s">
        <v>452</v>
      </c>
      <c r="G60" s="6" t="s">
        <v>37</v>
      </c>
      <c r="H60" s="6" t="s">
        <v>38</v>
      </c>
      <c r="I60" s="8" t="s">
        <v>39</v>
      </c>
      <c r="J60" s="9">
        <v>1</v>
      </c>
      <c r="K60" s="9">
        <v>120</v>
      </c>
      <c r="L60" s="9">
        <v>2024</v>
      </c>
      <c r="M60" s="8" t="s">
        <v>453</v>
      </c>
      <c r="N60" s="8" t="s">
        <v>74</v>
      </c>
      <c r="O60" s="8" t="s">
        <v>75</v>
      </c>
      <c r="P60" s="6" t="s">
        <v>43</v>
      </c>
      <c r="Q60" s="8" t="s">
        <v>44</v>
      </c>
      <c r="R60" s="10" t="s">
        <v>454</v>
      </c>
      <c r="S60" s="11"/>
      <c r="T60" s="6"/>
      <c r="U60" s="28" t="str">
        <f>HYPERLINK("https://media.infra-m.ru/2079/2079614/cover/2079614.jpg", "Обложка")</f>
        <v>Обложка</v>
      </c>
      <c r="V60" s="28" t="str">
        <f>HYPERLINK("https://znanium.ru/catalog/product/2079614", "Ознакомиться")</f>
        <v>Ознакомиться</v>
      </c>
      <c r="W60" s="8" t="s">
        <v>159</v>
      </c>
      <c r="X60" s="6"/>
      <c r="Y60" s="6"/>
      <c r="Z60" s="6"/>
      <c r="AA60" s="6" t="s">
        <v>290</v>
      </c>
    </row>
    <row r="61" spans="1:27" s="4" customFormat="1" ht="42" customHeight="1">
      <c r="A61" s="5">
        <v>0</v>
      </c>
      <c r="B61" s="6" t="s">
        <v>455</v>
      </c>
      <c r="C61" s="13">
        <v>490</v>
      </c>
      <c r="D61" s="8" t="s">
        <v>456</v>
      </c>
      <c r="E61" s="8" t="s">
        <v>457</v>
      </c>
      <c r="F61" s="8" t="s">
        <v>458</v>
      </c>
      <c r="G61" s="6" t="s">
        <v>37</v>
      </c>
      <c r="H61" s="6" t="s">
        <v>38</v>
      </c>
      <c r="I61" s="8" t="s">
        <v>39</v>
      </c>
      <c r="J61" s="9">
        <v>1</v>
      </c>
      <c r="K61" s="9">
        <v>106</v>
      </c>
      <c r="L61" s="9">
        <v>2024</v>
      </c>
      <c r="M61" s="8" t="s">
        <v>459</v>
      </c>
      <c r="N61" s="8" t="s">
        <v>74</v>
      </c>
      <c r="O61" s="8" t="s">
        <v>75</v>
      </c>
      <c r="P61" s="6" t="s">
        <v>43</v>
      </c>
      <c r="Q61" s="8" t="s">
        <v>44</v>
      </c>
      <c r="R61" s="10" t="s">
        <v>460</v>
      </c>
      <c r="S61" s="11"/>
      <c r="T61" s="6"/>
      <c r="U61" s="28" t="str">
        <f>HYPERLINK("https://media.infra-m.ru/2093/2093942/cover/2093942.jpg", "Обложка")</f>
        <v>Обложка</v>
      </c>
      <c r="V61" s="28" t="str">
        <f>HYPERLINK("https://znanium.ru/catalog/product/2093942", "Ознакомиться")</f>
        <v>Ознакомиться</v>
      </c>
      <c r="W61" s="8" t="s">
        <v>159</v>
      </c>
      <c r="X61" s="6"/>
      <c r="Y61" s="6"/>
      <c r="Z61" s="6"/>
      <c r="AA61" s="6" t="s">
        <v>290</v>
      </c>
    </row>
    <row r="62" spans="1:27" s="4" customFormat="1" ht="42" customHeight="1">
      <c r="A62" s="5">
        <v>0</v>
      </c>
      <c r="B62" s="6" t="s">
        <v>461</v>
      </c>
      <c r="C62" s="7">
        <v>1750</v>
      </c>
      <c r="D62" s="8" t="s">
        <v>462</v>
      </c>
      <c r="E62" s="8" t="s">
        <v>463</v>
      </c>
      <c r="F62" s="8" t="s">
        <v>215</v>
      </c>
      <c r="G62" s="6" t="s">
        <v>123</v>
      </c>
      <c r="H62" s="6" t="s">
        <v>38</v>
      </c>
      <c r="I62" s="8" t="s">
        <v>205</v>
      </c>
      <c r="J62" s="9">
        <v>1</v>
      </c>
      <c r="K62" s="9">
        <v>379</v>
      </c>
      <c r="L62" s="9">
        <v>2024</v>
      </c>
      <c r="M62" s="8" t="s">
        <v>464</v>
      </c>
      <c r="N62" s="8" t="s">
        <v>74</v>
      </c>
      <c r="O62" s="8" t="s">
        <v>75</v>
      </c>
      <c r="P62" s="6" t="s">
        <v>176</v>
      </c>
      <c r="Q62" s="8" t="s">
        <v>207</v>
      </c>
      <c r="R62" s="10" t="s">
        <v>465</v>
      </c>
      <c r="S62" s="11"/>
      <c r="T62" s="6"/>
      <c r="U62" s="28" t="str">
        <f>HYPERLINK("https://media.infra-m.ru/1906/1906109/cover/1906109.jpg", "Обложка")</f>
        <v>Обложка</v>
      </c>
      <c r="V62" s="28" t="str">
        <f>HYPERLINK("https://znanium.ru/catalog/product/1906109", "Ознакомиться")</f>
        <v>Ознакомиться</v>
      </c>
      <c r="W62" s="8" t="s">
        <v>140</v>
      </c>
      <c r="X62" s="6" t="s">
        <v>298</v>
      </c>
      <c r="Y62" s="6"/>
      <c r="Z62" s="6"/>
      <c r="AA62" s="6" t="s">
        <v>180</v>
      </c>
    </row>
    <row r="63" spans="1:27" s="4" customFormat="1" ht="51.95" customHeight="1">
      <c r="A63" s="5">
        <v>0</v>
      </c>
      <c r="B63" s="6" t="s">
        <v>466</v>
      </c>
      <c r="C63" s="7">
        <v>1060</v>
      </c>
      <c r="D63" s="8" t="s">
        <v>467</v>
      </c>
      <c r="E63" s="8" t="s">
        <v>468</v>
      </c>
      <c r="F63" s="8" t="s">
        <v>469</v>
      </c>
      <c r="G63" s="6" t="s">
        <v>83</v>
      </c>
      <c r="H63" s="6" t="s">
        <v>470</v>
      </c>
      <c r="I63" s="8" t="s">
        <v>155</v>
      </c>
      <c r="J63" s="9">
        <v>1</v>
      </c>
      <c r="K63" s="9">
        <v>224</v>
      </c>
      <c r="L63" s="9">
        <v>2024</v>
      </c>
      <c r="M63" s="8" t="s">
        <v>471</v>
      </c>
      <c r="N63" s="8" t="s">
        <v>74</v>
      </c>
      <c r="O63" s="8" t="s">
        <v>75</v>
      </c>
      <c r="P63" s="6" t="s">
        <v>55</v>
      </c>
      <c r="Q63" s="8" t="s">
        <v>56</v>
      </c>
      <c r="R63" s="10" t="s">
        <v>472</v>
      </c>
      <c r="S63" s="11" t="s">
        <v>473</v>
      </c>
      <c r="T63" s="6"/>
      <c r="U63" s="28" t="str">
        <f>HYPERLINK("https://media.infra-m.ru/2094/2094348/cover/2094348.jpg", "Обложка")</f>
        <v>Обложка</v>
      </c>
      <c r="V63" s="28" t="str">
        <f>HYPERLINK("https://znanium.ru/catalog/product/2094348", "Ознакомиться")</f>
        <v>Ознакомиться</v>
      </c>
      <c r="W63" s="8" t="s">
        <v>474</v>
      </c>
      <c r="X63" s="6"/>
      <c r="Y63" s="6"/>
      <c r="Z63" s="6"/>
      <c r="AA63" s="6" t="s">
        <v>290</v>
      </c>
    </row>
    <row r="64" spans="1:27" s="4" customFormat="1" ht="51.95" customHeight="1">
      <c r="A64" s="5">
        <v>0</v>
      </c>
      <c r="B64" s="6" t="s">
        <v>475</v>
      </c>
      <c r="C64" s="7">
        <v>1030</v>
      </c>
      <c r="D64" s="8" t="s">
        <v>476</v>
      </c>
      <c r="E64" s="8" t="s">
        <v>468</v>
      </c>
      <c r="F64" s="8" t="s">
        <v>469</v>
      </c>
      <c r="G64" s="6" t="s">
        <v>83</v>
      </c>
      <c r="H64" s="6" t="s">
        <v>470</v>
      </c>
      <c r="I64" s="8" t="s">
        <v>205</v>
      </c>
      <c r="J64" s="9">
        <v>1</v>
      </c>
      <c r="K64" s="9">
        <v>224</v>
      </c>
      <c r="L64" s="9">
        <v>2024</v>
      </c>
      <c r="M64" s="8" t="s">
        <v>477</v>
      </c>
      <c r="N64" s="8" t="s">
        <v>74</v>
      </c>
      <c r="O64" s="8" t="s">
        <v>75</v>
      </c>
      <c r="P64" s="6" t="s">
        <v>55</v>
      </c>
      <c r="Q64" s="8" t="s">
        <v>207</v>
      </c>
      <c r="R64" s="10" t="s">
        <v>478</v>
      </c>
      <c r="S64" s="11" t="s">
        <v>479</v>
      </c>
      <c r="T64" s="6"/>
      <c r="U64" s="28" t="str">
        <f>HYPERLINK("https://media.infra-m.ru/2094/2094349/cover/2094349.jpg", "Обложка")</f>
        <v>Обложка</v>
      </c>
      <c r="V64" s="28" t="str">
        <f>HYPERLINK("https://znanium.ru/catalog/product/2094349", "Ознакомиться")</f>
        <v>Ознакомиться</v>
      </c>
      <c r="W64" s="8" t="s">
        <v>474</v>
      </c>
      <c r="X64" s="6"/>
      <c r="Y64" s="6"/>
      <c r="Z64" s="6" t="s">
        <v>235</v>
      </c>
      <c r="AA64" s="6" t="s">
        <v>78</v>
      </c>
    </row>
    <row r="65" spans="1:27" s="4" customFormat="1" ht="51.95" customHeight="1">
      <c r="A65" s="5">
        <v>0</v>
      </c>
      <c r="B65" s="6" t="s">
        <v>480</v>
      </c>
      <c r="C65" s="13">
        <v>880</v>
      </c>
      <c r="D65" s="8" t="s">
        <v>481</v>
      </c>
      <c r="E65" s="8" t="s">
        <v>482</v>
      </c>
      <c r="F65" s="8" t="s">
        <v>483</v>
      </c>
      <c r="G65" s="6" t="s">
        <v>83</v>
      </c>
      <c r="H65" s="6" t="s">
        <v>470</v>
      </c>
      <c r="I65" s="8"/>
      <c r="J65" s="9">
        <v>1</v>
      </c>
      <c r="K65" s="9">
        <v>188</v>
      </c>
      <c r="L65" s="9">
        <v>2024</v>
      </c>
      <c r="M65" s="8" t="s">
        <v>484</v>
      </c>
      <c r="N65" s="8" t="s">
        <v>74</v>
      </c>
      <c r="O65" s="8" t="s">
        <v>75</v>
      </c>
      <c r="P65" s="6" t="s">
        <v>55</v>
      </c>
      <c r="Q65" s="8" t="s">
        <v>485</v>
      </c>
      <c r="R65" s="10" t="s">
        <v>486</v>
      </c>
      <c r="S65" s="11"/>
      <c r="T65" s="6"/>
      <c r="U65" s="28" t="str">
        <f>HYPERLINK("https://media.infra-m.ru/2107/2107431/cover/2107431.jpg", "Обложка")</f>
        <v>Обложка</v>
      </c>
      <c r="V65" s="28" t="str">
        <f>HYPERLINK("https://znanium.ru/catalog/product/2107431", "Ознакомиться")</f>
        <v>Ознакомиться</v>
      </c>
      <c r="W65" s="8" t="s">
        <v>487</v>
      </c>
      <c r="X65" s="6"/>
      <c r="Y65" s="6"/>
      <c r="Z65" s="6"/>
      <c r="AA65" s="6" t="s">
        <v>169</v>
      </c>
    </row>
    <row r="66" spans="1:27" s="4" customFormat="1" ht="51.95" customHeight="1">
      <c r="A66" s="5">
        <v>0</v>
      </c>
      <c r="B66" s="6" t="s">
        <v>488</v>
      </c>
      <c r="C66" s="13">
        <v>760</v>
      </c>
      <c r="D66" s="8" t="s">
        <v>489</v>
      </c>
      <c r="E66" s="8" t="s">
        <v>490</v>
      </c>
      <c r="F66" s="8" t="s">
        <v>491</v>
      </c>
      <c r="G66" s="6" t="s">
        <v>83</v>
      </c>
      <c r="H66" s="6" t="s">
        <v>317</v>
      </c>
      <c r="I66" s="8" t="s">
        <v>492</v>
      </c>
      <c r="J66" s="9">
        <v>1</v>
      </c>
      <c r="K66" s="9">
        <v>132</v>
      </c>
      <c r="L66" s="9">
        <v>2024</v>
      </c>
      <c r="M66" s="8" t="s">
        <v>493</v>
      </c>
      <c r="N66" s="8" t="s">
        <v>74</v>
      </c>
      <c r="O66" s="8" t="s">
        <v>75</v>
      </c>
      <c r="P66" s="6" t="s">
        <v>176</v>
      </c>
      <c r="Q66" s="8" t="s">
        <v>207</v>
      </c>
      <c r="R66" s="10" t="s">
        <v>494</v>
      </c>
      <c r="S66" s="11"/>
      <c r="T66" s="6"/>
      <c r="U66" s="28" t="str">
        <f>HYPERLINK("https://media.infra-m.ru/2082/2082927/cover/2082927.jpg", "Обложка")</f>
        <v>Обложка</v>
      </c>
      <c r="V66" s="28" t="str">
        <f>HYPERLINK("https://znanium.ru/catalog/product/2082927", "Ознакомиться")</f>
        <v>Ознакомиться</v>
      </c>
      <c r="W66" s="8" t="s">
        <v>495</v>
      </c>
      <c r="X66" s="6"/>
      <c r="Y66" s="6"/>
      <c r="Z66" s="6"/>
      <c r="AA66" s="6" t="s">
        <v>78</v>
      </c>
    </row>
    <row r="67" spans="1:27" s="4" customFormat="1" ht="42" customHeight="1">
      <c r="A67" s="5">
        <v>0</v>
      </c>
      <c r="B67" s="6" t="s">
        <v>496</v>
      </c>
      <c r="C67" s="13">
        <v>890</v>
      </c>
      <c r="D67" s="8" t="s">
        <v>497</v>
      </c>
      <c r="E67" s="8" t="s">
        <v>498</v>
      </c>
      <c r="F67" s="8" t="s">
        <v>499</v>
      </c>
      <c r="G67" s="6" t="s">
        <v>123</v>
      </c>
      <c r="H67" s="6" t="s">
        <v>38</v>
      </c>
      <c r="I67" s="8" t="s">
        <v>500</v>
      </c>
      <c r="J67" s="9">
        <v>1</v>
      </c>
      <c r="K67" s="9">
        <v>184</v>
      </c>
      <c r="L67" s="9">
        <v>2024</v>
      </c>
      <c r="M67" s="8" t="s">
        <v>501</v>
      </c>
      <c r="N67" s="8" t="s">
        <v>74</v>
      </c>
      <c r="O67" s="8" t="s">
        <v>75</v>
      </c>
      <c r="P67" s="6" t="s">
        <v>55</v>
      </c>
      <c r="Q67" s="8" t="s">
        <v>56</v>
      </c>
      <c r="R67" s="10" t="s">
        <v>502</v>
      </c>
      <c r="S67" s="11"/>
      <c r="T67" s="6"/>
      <c r="U67" s="28" t="str">
        <f>HYPERLINK("https://media.infra-m.ru/2125/2125189/cover/2125189.jpg", "Обложка")</f>
        <v>Обложка</v>
      </c>
      <c r="V67" s="12"/>
      <c r="W67" s="8" t="s">
        <v>327</v>
      </c>
      <c r="X67" s="6" t="s">
        <v>503</v>
      </c>
      <c r="Y67" s="6"/>
      <c r="Z67" s="6"/>
      <c r="AA67" s="6" t="s">
        <v>180</v>
      </c>
    </row>
    <row r="68" spans="1:27" s="4" customFormat="1" ht="51.95" customHeight="1">
      <c r="A68" s="5">
        <v>0</v>
      </c>
      <c r="B68" s="6" t="s">
        <v>504</v>
      </c>
      <c r="C68" s="7">
        <v>1030</v>
      </c>
      <c r="D68" s="8" t="s">
        <v>505</v>
      </c>
      <c r="E68" s="8" t="s">
        <v>506</v>
      </c>
      <c r="F68" s="8" t="s">
        <v>507</v>
      </c>
      <c r="G68" s="6" t="s">
        <v>83</v>
      </c>
      <c r="H68" s="6" t="s">
        <v>38</v>
      </c>
      <c r="I68" s="8" t="s">
        <v>205</v>
      </c>
      <c r="J68" s="9">
        <v>1</v>
      </c>
      <c r="K68" s="9">
        <v>223</v>
      </c>
      <c r="L68" s="9">
        <v>2024</v>
      </c>
      <c r="M68" s="8" t="s">
        <v>508</v>
      </c>
      <c r="N68" s="8" t="s">
        <v>74</v>
      </c>
      <c r="O68" s="8" t="s">
        <v>75</v>
      </c>
      <c r="P68" s="6" t="s">
        <v>55</v>
      </c>
      <c r="Q68" s="8" t="s">
        <v>207</v>
      </c>
      <c r="R68" s="10" t="s">
        <v>509</v>
      </c>
      <c r="S68" s="11" t="s">
        <v>510</v>
      </c>
      <c r="T68" s="6"/>
      <c r="U68" s="28" t="str">
        <f>HYPERLINK("https://media.infra-m.ru/2131/2131530/cover/2131530.jpg", "Обложка")</f>
        <v>Обложка</v>
      </c>
      <c r="V68" s="28" t="str">
        <f>HYPERLINK("https://znanium.ru/catalog/product/2131530", "Ознакомиться")</f>
        <v>Ознакомиться</v>
      </c>
      <c r="W68" s="8" t="s">
        <v>511</v>
      </c>
      <c r="X68" s="6"/>
      <c r="Y68" s="6" t="s">
        <v>30</v>
      </c>
      <c r="Z68" s="6" t="s">
        <v>235</v>
      </c>
      <c r="AA68" s="6" t="s">
        <v>78</v>
      </c>
    </row>
    <row r="69" spans="1:27" s="4" customFormat="1" ht="51.95" customHeight="1">
      <c r="A69" s="5">
        <v>0</v>
      </c>
      <c r="B69" s="6" t="s">
        <v>512</v>
      </c>
      <c r="C69" s="7">
        <v>2150</v>
      </c>
      <c r="D69" s="8" t="s">
        <v>513</v>
      </c>
      <c r="E69" s="8" t="s">
        <v>514</v>
      </c>
      <c r="F69" s="8" t="s">
        <v>215</v>
      </c>
      <c r="G69" s="6" t="s">
        <v>123</v>
      </c>
      <c r="H69" s="6" t="s">
        <v>38</v>
      </c>
      <c r="I69" s="8" t="s">
        <v>216</v>
      </c>
      <c r="J69" s="9">
        <v>1</v>
      </c>
      <c r="K69" s="9">
        <v>460</v>
      </c>
      <c r="L69" s="9">
        <v>2024</v>
      </c>
      <c r="M69" s="8" t="s">
        <v>515</v>
      </c>
      <c r="N69" s="8" t="s">
        <v>74</v>
      </c>
      <c r="O69" s="8" t="s">
        <v>75</v>
      </c>
      <c r="P69" s="6" t="s">
        <v>176</v>
      </c>
      <c r="Q69" s="8" t="s">
        <v>207</v>
      </c>
      <c r="R69" s="10" t="s">
        <v>516</v>
      </c>
      <c r="S69" s="11"/>
      <c r="T69" s="6"/>
      <c r="U69" s="28" t="str">
        <f>HYPERLINK("https://media.infra-m.ru/2076/2076814/cover/2076814.jpg", "Обложка")</f>
        <v>Обложка</v>
      </c>
      <c r="V69" s="28" t="str">
        <f>HYPERLINK("https://znanium.ru/catalog/product/2076814", "Ознакомиться")</f>
        <v>Ознакомиться</v>
      </c>
      <c r="W69" s="8" t="s">
        <v>140</v>
      </c>
      <c r="X69" s="6" t="s">
        <v>517</v>
      </c>
      <c r="Y69" s="6"/>
      <c r="Z69" s="6"/>
      <c r="AA69" s="6" t="s">
        <v>180</v>
      </c>
    </row>
    <row r="70" spans="1:27" s="4" customFormat="1" ht="51.95" customHeight="1">
      <c r="A70" s="5">
        <v>0</v>
      </c>
      <c r="B70" s="6" t="s">
        <v>518</v>
      </c>
      <c r="C70" s="13">
        <v>977</v>
      </c>
      <c r="D70" s="8" t="s">
        <v>519</v>
      </c>
      <c r="E70" s="8" t="s">
        <v>520</v>
      </c>
      <c r="F70" s="8" t="s">
        <v>521</v>
      </c>
      <c r="G70" s="6" t="s">
        <v>37</v>
      </c>
      <c r="H70" s="6" t="s">
        <v>52</v>
      </c>
      <c r="I70" s="8" t="s">
        <v>155</v>
      </c>
      <c r="J70" s="9">
        <v>1</v>
      </c>
      <c r="K70" s="9">
        <v>160</v>
      </c>
      <c r="L70" s="9">
        <v>2024</v>
      </c>
      <c r="M70" s="8" t="s">
        <v>522</v>
      </c>
      <c r="N70" s="8" t="s">
        <v>74</v>
      </c>
      <c r="O70" s="8" t="s">
        <v>75</v>
      </c>
      <c r="P70" s="6" t="s">
        <v>55</v>
      </c>
      <c r="Q70" s="8" t="s">
        <v>56</v>
      </c>
      <c r="R70" s="10" t="s">
        <v>523</v>
      </c>
      <c r="S70" s="11"/>
      <c r="T70" s="6"/>
      <c r="U70" s="28" t="str">
        <f>HYPERLINK("https://media.infra-m.ru/2079/2079644/cover/2079644.jpg", "Обложка")</f>
        <v>Обложка</v>
      </c>
      <c r="V70" s="12"/>
      <c r="W70" s="8" t="s">
        <v>168</v>
      </c>
      <c r="X70" s="6"/>
      <c r="Y70" s="6"/>
      <c r="Z70" s="6"/>
      <c r="AA70" s="6" t="s">
        <v>96</v>
      </c>
    </row>
    <row r="71" spans="1:27" s="4" customFormat="1" ht="51.95" customHeight="1">
      <c r="A71" s="5">
        <v>0</v>
      </c>
      <c r="B71" s="6" t="s">
        <v>524</v>
      </c>
      <c r="C71" s="13">
        <v>590</v>
      </c>
      <c r="D71" s="8" t="s">
        <v>525</v>
      </c>
      <c r="E71" s="8" t="s">
        <v>526</v>
      </c>
      <c r="F71" s="8" t="s">
        <v>527</v>
      </c>
      <c r="G71" s="6" t="s">
        <v>123</v>
      </c>
      <c r="H71" s="6" t="s">
        <v>528</v>
      </c>
      <c r="I71" s="8" t="s">
        <v>529</v>
      </c>
      <c r="J71" s="9">
        <v>1</v>
      </c>
      <c r="K71" s="9">
        <v>192</v>
      </c>
      <c r="L71" s="9">
        <v>2017</v>
      </c>
      <c r="M71" s="8" t="s">
        <v>530</v>
      </c>
      <c r="N71" s="8" t="s">
        <v>74</v>
      </c>
      <c r="O71" s="8" t="s">
        <v>75</v>
      </c>
      <c r="P71" s="6" t="s">
        <v>55</v>
      </c>
      <c r="Q71" s="8" t="s">
        <v>207</v>
      </c>
      <c r="R71" s="10" t="s">
        <v>531</v>
      </c>
      <c r="S71" s="11" t="s">
        <v>532</v>
      </c>
      <c r="T71" s="6"/>
      <c r="U71" s="28" t="str">
        <f>HYPERLINK("https://media.infra-m.ru/0967/0967112/cover/967112.jpg", "Обложка")</f>
        <v>Обложка</v>
      </c>
      <c r="V71" s="28" t="str">
        <f>HYPERLINK("https://znanium.ru/catalog/product/1902841", "Ознакомиться")</f>
        <v>Ознакомиться</v>
      </c>
      <c r="W71" s="8" t="s">
        <v>533</v>
      </c>
      <c r="X71" s="6"/>
      <c r="Y71" s="6"/>
      <c r="Z71" s="6"/>
      <c r="AA71" s="6" t="s">
        <v>381</v>
      </c>
    </row>
    <row r="72" spans="1:27" s="4" customFormat="1" ht="51.95" customHeight="1">
      <c r="A72" s="5">
        <v>0</v>
      </c>
      <c r="B72" s="6" t="s">
        <v>534</v>
      </c>
      <c r="C72" s="13">
        <v>860</v>
      </c>
      <c r="D72" s="8" t="s">
        <v>535</v>
      </c>
      <c r="E72" s="8" t="s">
        <v>536</v>
      </c>
      <c r="F72" s="8" t="s">
        <v>537</v>
      </c>
      <c r="G72" s="6" t="s">
        <v>83</v>
      </c>
      <c r="H72" s="6" t="s">
        <v>38</v>
      </c>
      <c r="I72" s="8" t="s">
        <v>205</v>
      </c>
      <c r="J72" s="9">
        <v>1</v>
      </c>
      <c r="K72" s="9">
        <v>190</v>
      </c>
      <c r="L72" s="9">
        <v>2023</v>
      </c>
      <c r="M72" s="8" t="s">
        <v>538</v>
      </c>
      <c r="N72" s="8" t="s">
        <v>74</v>
      </c>
      <c r="O72" s="8" t="s">
        <v>75</v>
      </c>
      <c r="P72" s="6" t="s">
        <v>55</v>
      </c>
      <c r="Q72" s="8" t="s">
        <v>207</v>
      </c>
      <c r="R72" s="10" t="s">
        <v>531</v>
      </c>
      <c r="S72" s="11" t="s">
        <v>532</v>
      </c>
      <c r="T72" s="6"/>
      <c r="U72" s="28" t="str">
        <f>HYPERLINK("https://media.infra-m.ru/1902/1902841/cover/1902841.jpg", "Обложка")</f>
        <v>Обложка</v>
      </c>
      <c r="V72" s="28" t="str">
        <f>HYPERLINK("https://znanium.ru/catalog/product/1902841", "Ознакомиться")</f>
        <v>Ознакомиться</v>
      </c>
      <c r="W72" s="8" t="s">
        <v>533</v>
      </c>
      <c r="X72" s="6"/>
      <c r="Y72" s="6"/>
      <c r="Z72" s="6"/>
      <c r="AA72" s="6" t="s">
        <v>312</v>
      </c>
    </row>
    <row r="73" spans="1:27" s="4" customFormat="1" ht="51.95" customHeight="1">
      <c r="A73" s="5">
        <v>0</v>
      </c>
      <c r="B73" s="6" t="s">
        <v>539</v>
      </c>
      <c r="C73" s="7">
        <v>1370</v>
      </c>
      <c r="D73" s="8" t="s">
        <v>540</v>
      </c>
      <c r="E73" s="8" t="s">
        <v>541</v>
      </c>
      <c r="F73" s="8" t="s">
        <v>215</v>
      </c>
      <c r="G73" s="6" t="s">
        <v>123</v>
      </c>
      <c r="H73" s="6" t="s">
        <v>38</v>
      </c>
      <c r="I73" s="8" t="s">
        <v>205</v>
      </c>
      <c r="J73" s="9">
        <v>1</v>
      </c>
      <c r="K73" s="9">
        <v>283</v>
      </c>
      <c r="L73" s="9">
        <v>2024</v>
      </c>
      <c r="M73" s="8" t="s">
        <v>542</v>
      </c>
      <c r="N73" s="8" t="s">
        <v>74</v>
      </c>
      <c r="O73" s="8" t="s">
        <v>75</v>
      </c>
      <c r="P73" s="6" t="s">
        <v>176</v>
      </c>
      <c r="Q73" s="8" t="s">
        <v>207</v>
      </c>
      <c r="R73" s="10" t="s">
        <v>218</v>
      </c>
      <c r="S73" s="11"/>
      <c r="T73" s="6"/>
      <c r="U73" s="28" t="str">
        <f>HYPERLINK("https://media.infra-m.ru/1908/1908966/cover/1908966.jpg", "Обложка")</f>
        <v>Обложка</v>
      </c>
      <c r="V73" s="28" t="str">
        <f>HYPERLINK("https://znanium.ru/catalog/product/1908966", "Ознакомиться")</f>
        <v>Ознакомиться</v>
      </c>
      <c r="W73" s="8" t="s">
        <v>140</v>
      </c>
      <c r="X73" s="6" t="s">
        <v>179</v>
      </c>
      <c r="Y73" s="6"/>
      <c r="Z73" s="6"/>
      <c r="AA73" s="6" t="s">
        <v>180</v>
      </c>
    </row>
    <row r="74" spans="1:27" s="4" customFormat="1" ht="42" customHeight="1">
      <c r="A74" s="5">
        <v>0</v>
      </c>
      <c r="B74" s="6" t="s">
        <v>543</v>
      </c>
      <c r="C74" s="7">
        <v>2010</v>
      </c>
      <c r="D74" s="8" t="s">
        <v>544</v>
      </c>
      <c r="E74" s="8" t="s">
        <v>545</v>
      </c>
      <c r="F74" s="8" t="s">
        <v>215</v>
      </c>
      <c r="G74" s="6" t="s">
        <v>123</v>
      </c>
      <c r="H74" s="6" t="s">
        <v>38</v>
      </c>
      <c r="I74" s="8" t="s">
        <v>546</v>
      </c>
      <c r="J74" s="9">
        <v>1</v>
      </c>
      <c r="K74" s="9">
        <v>426</v>
      </c>
      <c r="L74" s="9">
        <v>2024</v>
      </c>
      <c r="M74" s="8" t="s">
        <v>547</v>
      </c>
      <c r="N74" s="8" t="s">
        <v>74</v>
      </c>
      <c r="O74" s="8" t="s">
        <v>75</v>
      </c>
      <c r="P74" s="6" t="s">
        <v>55</v>
      </c>
      <c r="Q74" s="8" t="s">
        <v>56</v>
      </c>
      <c r="R74" s="10" t="s">
        <v>548</v>
      </c>
      <c r="S74" s="11"/>
      <c r="T74" s="6"/>
      <c r="U74" s="28" t="str">
        <f>HYPERLINK("https://media.infra-m.ru/1896/1896103/cover/1896103.jpg", "Обложка")</f>
        <v>Обложка</v>
      </c>
      <c r="V74" s="28" t="str">
        <f>HYPERLINK("https://znanium.ru/catalog/product/1896103", "Ознакомиться")</f>
        <v>Ознакомиться</v>
      </c>
      <c r="W74" s="8" t="s">
        <v>140</v>
      </c>
      <c r="X74" s="6" t="s">
        <v>503</v>
      </c>
      <c r="Y74" s="6"/>
      <c r="Z74" s="6"/>
      <c r="AA74" s="6" t="s">
        <v>180</v>
      </c>
    </row>
    <row r="75" spans="1:27" s="4" customFormat="1" ht="51.95" customHeight="1">
      <c r="A75" s="5">
        <v>0</v>
      </c>
      <c r="B75" s="6" t="s">
        <v>549</v>
      </c>
      <c r="C75" s="13">
        <v>890</v>
      </c>
      <c r="D75" s="8" t="s">
        <v>550</v>
      </c>
      <c r="E75" s="8" t="s">
        <v>551</v>
      </c>
      <c r="F75" s="8" t="s">
        <v>552</v>
      </c>
      <c r="G75" s="6" t="s">
        <v>83</v>
      </c>
      <c r="H75" s="6" t="s">
        <v>38</v>
      </c>
      <c r="I75" s="8" t="s">
        <v>553</v>
      </c>
      <c r="J75" s="9">
        <v>1</v>
      </c>
      <c r="K75" s="9">
        <v>189</v>
      </c>
      <c r="L75" s="9">
        <v>2024</v>
      </c>
      <c r="M75" s="8" t="s">
        <v>554</v>
      </c>
      <c r="N75" s="8" t="s">
        <v>74</v>
      </c>
      <c r="O75" s="8" t="s">
        <v>75</v>
      </c>
      <c r="P75" s="6" t="s">
        <v>55</v>
      </c>
      <c r="Q75" s="8" t="s">
        <v>56</v>
      </c>
      <c r="R75" s="10" t="s">
        <v>555</v>
      </c>
      <c r="S75" s="11" t="s">
        <v>556</v>
      </c>
      <c r="T75" s="6"/>
      <c r="U75" s="28" t="str">
        <f>HYPERLINK("https://media.infra-m.ru/2103/2103175/cover/2103175.jpg", "Обложка")</f>
        <v>Обложка</v>
      </c>
      <c r="V75" s="28" t="str">
        <f>HYPERLINK("https://znanium.ru/catalog/product/2103175", "Ознакомиться")</f>
        <v>Ознакомиться</v>
      </c>
      <c r="W75" s="8" t="s">
        <v>557</v>
      </c>
      <c r="X75" s="6"/>
      <c r="Y75" s="6"/>
      <c r="Z75" s="6"/>
      <c r="AA75" s="6" t="s">
        <v>78</v>
      </c>
    </row>
    <row r="76" spans="1:27" s="4" customFormat="1" ht="51.95" customHeight="1">
      <c r="A76" s="5">
        <v>0</v>
      </c>
      <c r="B76" s="6" t="s">
        <v>558</v>
      </c>
      <c r="C76" s="7">
        <v>1650</v>
      </c>
      <c r="D76" s="8" t="s">
        <v>559</v>
      </c>
      <c r="E76" s="8" t="s">
        <v>560</v>
      </c>
      <c r="F76" s="8" t="s">
        <v>215</v>
      </c>
      <c r="G76" s="6" t="s">
        <v>83</v>
      </c>
      <c r="H76" s="6" t="s">
        <v>38</v>
      </c>
      <c r="I76" s="8" t="s">
        <v>216</v>
      </c>
      <c r="J76" s="9">
        <v>1</v>
      </c>
      <c r="K76" s="9">
        <v>358</v>
      </c>
      <c r="L76" s="9">
        <v>2024</v>
      </c>
      <c r="M76" s="8" t="s">
        <v>561</v>
      </c>
      <c r="N76" s="8" t="s">
        <v>74</v>
      </c>
      <c r="O76" s="8" t="s">
        <v>75</v>
      </c>
      <c r="P76" s="6" t="s">
        <v>176</v>
      </c>
      <c r="Q76" s="8" t="s">
        <v>207</v>
      </c>
      <c r="R76" s="10" t="s">
        <v>562</v>
      </c>
      <c r="S76" s="11" t="s">
        <v>563</v>
      </c>
      <c r="T76" s="6"/>
      <c r="U76" s="28" t="str">
        <f>HYPERLINK("https://media.infra-m.ru/2113/2113309/cover/2113309.jpg", "Обложка")</f>
        <v>Обложка</v>
      </c>
      <c r="V76" s="28" t="str">
        <f>HYPERLINK("https://znanium.ru/catalog/product/2113309", "Ознакомиться")</f>
        <v>Ознакомиться</v>
      </c>
      <c r="W76" s="8" t="s">
        <v>140</v>
      </c>
      <c r="X76" s="6"/>
      <c r="Y76" s="6"/>
      <c r="Z76" s="6"/>
      <c r="AA76" s="6" t="s">
        <v>103</v>
      </c>
    </row>
    <row r="77" spans="1:27" s="4" customFormat="1" ht="51.95" customHeight="1">
      <c r="A77" s="5">
        <v>0</v>
      </c>
      <c r="B77" s="6" t="s">
        <v>564</v>
      </c>
      <c r="C77" s="7">
        <v>1147</v>
      </c>
      <c r="D77" s="8" t="s">
        <v>565</v>
      </c>
      <c r="E77" s="8" t="s">
        <v>566</v>
      </c>
      <c r="F77" s="8" t="s">
        <v>567</v>
      </c>
      <c r="G77" s="6" t="s">
        <v>37</v>
      </c>
      <c r="H77" s="6" t="s">
        <v>52</v>
      </c>
      <c r="I77" s="8" t="s">
        <v>164</v>
      </c>
      <c r="J77" s="9">
        <v>1</v>
      </c>
      <c r="K77" s="9">
        <v>192</v>
      </c>
      <c r="L77" s="9">
        <v>2024</v>
      </c>
      <c r="M77" s="8" t="s">
        <v>568</v>
      </c>
      <c r="N77" s="8" t="s">
        <v>74</v>
      </c>
      <c r="O77" s="8" t="s">
        <v>75</v>
      </c>
      <c r="P77" s="6" t="s">
        <v>176</v>
      </c>
      <c r="Q77" s="8" t="s">
        <v>56</v>
      </c>
      <c r="R77" s="10" t="s">
        <v>569</v>
      </c>
      <c r="S77" s="11" t="s">
        <v>570</v>
      </c>
      <c r="T77" s="6"/>
      <c r="U77" s="28" t="str">
        <f>HYPERLINK("https://media.infra-m.ru/2104/2104853/cover/2104853.jpg", "Обложка")</f>
        <v>Обложка</v>
      </c>
      <c r="V77" s="28" t="str">
        <f>HYPERLINK("https://znanium.ru/catalog/product/1867601", "Ознакомиться")</f>
        <v>Ознакомиться</v>
      </c>
      <c r="W77" s="8" t="s">
        <v>571</v>
      </c>
      <c r="X77" s="6"/>
      <c r="Y77" s="6"/>
      <c r="Z77" s="6"/>
      <c r="AA77" s="6" t="s">
        <v>169</v>
      </c>
    </row>
    <row r="78" spans="1:27" s="4" customFormat="1" ht="51.95" customHeight="1">
      <c r="A78" s="5">
        <v>0</v>
      </c>
      <c r="B78" s="6" t="s">
        <v>572</v>
      </c>
      <c r="C78" s="7">
        <v>1770</v>
      </c>
      <c r="D78" s="8" t="s">
        <v>573</v>
      </c>
      <c r="E78" s="8" t="s">
        <v>574</v>
      </c>
      <c r="F78" s="8" t="s">
        <v>567</v>
      </c>
      <c r="G78" s="6" t="s">
        <v>83</v>
      </c>
      <c r="H78" s="6" t="s">
        <v>52</v>
      </c>
      <c r="I78" s="8" t="s">
        <v>205</v>
      </c>
      <c r="J78" s="9">
        <v>1</v>
      </c>
      <c r="K78" s="9">
        <v>302</v>
      </c>
      <c r="L78" s="9">
        <v>2023</v>
      </c>
      <c r="M78" s="8" t="s">
        <v>575</v>
      </c>
      <c r="N78" s="8" t="s">
        <v>74</v>
      </c>
      <c r="O78" s="8" t="s">
        <v>75</v>
      </c>
      <c r="P78" s="6" t="s">
        <v>55</v>
      </c>
      <c r="Q78" s="8" t="s">
        <v>207</v>
      </c>
      <c r="R78" s="10" t="s">
        <v>531</v>
      </c>
      <c r="S78" s="11" t="s">
        <v>576</v>
      </c>
      <c r="T78" s="6"/>
      <c r="U78" s="28" t="str">
        <f>HYPERLINK("https://media.infra-m.ru/1902/1902854/cover/1902854.jpg", "Обложка")</f>
        <v>Обложка</v>
      </c>
      <c r="V78" s="28" t="str">
        <f>HYPERLINK("https://znanium.ru/catalog/product/1902854", "Ознакомиться")</f>
        <v>Ознакомиться</v>
      </c>
      <c r="W78" s="8" t="s">
        <v>571</v>
      </c>
      <c r="X78" s="6"/>
      <c r="Y78" s="6"/>
      <c r="Z78" s="6" t="s">
        <v>235</v>
      </c>
      <c r="AA78" s="6" t="s">
        <v>68</v>
      </c>
    </row>
    <row r="79" spans="1:27" s="4" customFormat="1" ht="51.95" customHeight="1">
      <c r="A79" s="5">
        <v>0</v>
      </c>
      <c r="B79" s="6" t="s">
        <v>577</v>
      </c>
      <c r="C79" s="7">
        <v>1620</v>
      </c>
      <c r="D79" s="8" t="s">
        <v>578</v>
      </c>
      <c r="E79" s="8" t="s">
        <v>579</v>
      </c>
      <c r="F79" s="8" t="s">
        <v>215</v>
      </c>
      <c r="G79" s="6" t="s">
        <v>123</v>
      </c>
      <c r="H79" s="6" t="s">
        <v>38</v>
      </c>
      <c r="I79" s="8" t="s">
        <v>216</v>
      </c>
      <c r="J79" s="9">
        <v>1</v>
      </c>
      <c r="K79" s="9">
        <v>340</v>
      </c>
      <c r="L79" s="9">
        <v>2024</v>
      </c>
      <c r="M79" s="8" t="s">
        <v>580</v>
      </c>
      <c r="N79" s="8" t="s">
        <v>74</v>
      </c>
      <c r="O79" s="8" t="s">
        <v>75</v>
      </c>
      <c r="P79" s="6" t="s">
        <v>176</v>
      </c>
      <c r="Q79" s="8" t="s">
        <v>207</v>
      </c>
      <c r="R79" s="10" t="s">
        <v>581</v>
      </c>
      <c r="S79" s="11"/>
      <c r="T79" s="6"/>
      <c r="U79" s="28" t="str">
        <f>HYPERLINK("https://media.infra-m.ru/2063/2063440/cover/2063440.jpg", "Обложка")</f>
        <v>Обложка</v>
      </c>
      <c r="V79" s="28" t="str">
        <f>HYPERLINK("https://znanium.ru/catalog/product/2063440", "Ознакомиться")</f>
        <v>Ознакомиться</v>
      </c>
      <c r="W79" s="8" t="s">
        <v>140</v>
      </c>
      <c r="X79" s="6" t="s">
        <v>582</v>
      </c>
      <c r="Y79" s="6"/>
      <c r="Z79" s="6"/>
      <c r="AA79" s="6" t="s">
        <v>180</v>
      </c>
    </row>
    <row r="80" spans="1:27" s="4" customFormat="1" ht="51.95" customHeight="1">
      <c r="A80" s="5">
        <v>0</v>
      </c>
      <c r="B80" s="6" t="s">
        <v>583</v>
      </c>
      <c r="C80" s="7">
        <v>1174</v>
      </c>
      <c r="D80" s="8" t="s">
        <v>584</v>
      </c>
      <c r="E80" s="8" t="s">
        <v>585</v>
      </c>
      <c r="F80" s="8" t="s">
        <v>586</v>
      </c>
      <c r="G80" s="6" t="s">
        <v>123</v>
      </c>
      <c r="H80" s="6" t="s">
        <v>38</v>
      </c>
      <c r="I80" s="8" t="s">
        <v>164</v>
      </c>
      <c r="J80" s="9">
        <v>1</v>
      </c>
      <c r="K80" s="9">
        <v>256</v>
      </c>
      <c r="L80" s="9">
        <v>2024</v>
      </c>
      <c r="M80" s="8" t="s">
        <v>587</v>
      </c>
      <c r="N80" s="8" t="s">
        <v>74</v>
      </c>
      <c r="O80" s="8" t="s">
        <v>75</v>
      </c>
      <c r="P80" s="6" t="s">
        <v>55</v>
      </c>
      <c r="Q80" s="8" t="s">
        <v>56</v>
      </c>
      <c r="R80" s="10" t="s">
        <v>178</v>
      </c>
      <c r="S80" s="11" t="s">
        <v>588</v>
      </c>
      <c r="T80" s="6"/>
      <c r="U80" s="28" t="str">
        <f>HYPERLINK("https://media.infra-m.ru/2087/2087255/cover/2087255.jpg", "Обложка")</f>
        <v>Обложка</v>
      </c>
      <c r="V80" s="28" t="str">
        <f>HYPERLINK("https://znanium.ru/catalog/product/982756", "Ознакомиться")</f>
        <v>Ознакомиться</v>
      </c>
      <c r="W80" s="8" t="s">
        <v>273</v>
      </c>
      <c r="X80" s="6"/>
      <c r="Y80" s="6"/>
      <c r="Z80" s="6"/>
      <c r="AA80" s="6" t="s">
        <v>381</v>
      </c>
    </row>
    <row r="81" spans="1:27" s="4" customFormat="1" ht="51.95" customHeight="1">
      <c r="A81" s="5">
        <v>0</v>
      </c>
      <c r="B81" s="6" t="s">
        <v>589</v>
      </c>
      <c r="C81" s="13">
        <v>420</v>
      </c>
      <c r="D81" s="8" t="s">
        <v>590</v>
      </c>
      <c r="E81" s="8" t="s">
        <v>591</v>
      </c>
      <c r="F81" s="8" t="s">
        <v>592</v>
      </c>
      <c r="G81" s="6" t="s">
        <v>37</v>
      </c>
      <c r="H81" s="6" t="s">
        <v>470</v>
      </c>
      <c r="I81" s="8"/>
      <c r="J81" s="9">
        <v>1</v>
      </c>
      <c r="K81" s="9">
        <v>80</v>
      </c>
      <c r="L81" s="9">
        <v>2024</v>
      </c>
      <c r="M81" s="8" t="s">
        <v>593</v>
      </c>
      <c r="N81" s="8" t="s">
        <v>74</v>
      </c>
      <c r="O81" s="8" t="s">
        <v>75</v>
      </c>
      <c r="P81" s="6" t="s">
        <v>55</v>
      </c>
      <c r="Q81" s="8" t="s">
        <v>594</v>
      </c>
      <c r="R81" s="10" t="s">
        <v>595</v>
      </c>
      <c r="S81" s="11" t="s">
        <v>596</v>
      </c>
      <c r="T81" s="6"/>
      <c r="U81" s="28" t="str">
        <f>HYPERLINK("https://media.infra-m.ru/1938/1938010/cover/1938010.jpg", "Обложка")</f>
        <v>Обложка</v>
      </c>
      <c r="V81" s="28" t="str">
        <f>HYPERLINK("https://znanium.ru/catalog/product/1938010", "Ознакомиться")</f>
        <v>Ознакомиться</v>
      </c>
      <c r="W81" s="8" t="s">
        <v>597</v>
      </c>
      <c r="X81" s="6"/>
      <c r="Y81" s="6"/>
      <c r="Z81" s="6"/>
      <c r="AA81" s="6" t="s">
        <v>169</v>
      </c>
    </row>
    <row r="82" spans="1:27" s="4" customFormat="1" ht="51.95" customHeight="1">
      <c r="A82" s="5">
        <v>0</v>
      </c>
      <c r="B82" s="6" t="s">
        <v>598</v>
      </c>
      <c r="C82" s="7">
        <v>1140</v>
      </c>
      <c r="D82" s="8" t="s">
        <v>599</v>
      </c>
      <c r="E82" s="8" t="s">
        <v>600</v>
      </c>
      <c r="F82" s="8" t="s">
        <v>601</v>
      </c>
      <c r="G82" s="6" t="s">
        <v>83</v>
      </c>
      <c r="H82" s="6" t="s">
        <v>38</v>
      </c>
      <c r="I82" s="8" t="s">
        <v>174</v>
      </c>
      <c r="J82" s="9">
        <v>1</v>
      </c>
      <c r="K82" s="9">
        <v>234</v>
      </c>
      <c r="L82" s="9">
        <v>2024</v>
      </c>
      <c r="M82" s="8" t="s">
        <v>602</v>
      </c>
      <c r="N82" s="8" t="s">
        <v>74</v>
      </c>
      <c r="O82" s="8" t="s">
        <v>75</v>
      </c>
      <c r="P82" s="6" t="s">
        <v>55</v>
      </c>
      <c r="Q82" s="8" t="s">
        <v>56</v>
      </c>
      <c r="R82" s="10" t="s">
        <v>603</v>
      </c>
      <c r="S82" s="11" t="s">
        <v>604</v>
      </c>
      <c r="T82" s="6"/>
      <c r="U82" s="28" t="str">
        <f>HYPERLINK("https://media.infra-m.ru/2141/2141590/cover/2141590.jpg", "Обложка")</f>
        <v>Обложка</v>
      </c>
      <c r="V82" s="28" t="str">
        <f>HYPERLINK("https://znanium.ru/catalog/product/2141590", "Ознакомиться")</f>
        <v>Ознакомиться</v>
      </c>
      <c r="W82" s="8" t="s">
        <v>140</v>
      </c>
      <c r="X82" s="6"/>
      <c r="Y82" s="6"/>
      <c r="Z82" s="6"/>
      <c r="AA82" s="6" t="s">
        <v>180</v>
      </c>
    </row>
    <row r="83" spans="1:27" s="4" customFormat="1" ht="51.95" customHeight="1">
      <c r="A83" s="5">
        <v>0</v>
      </c>
      <c r="B83" s="6" t="s">
        <v>605</v>
      </c>
      <c r="C83" s="7">
        <v>1024</v>
      </c>
      <c r="D83" s="8" t="s">
        <v>606</v>
      </c>
      <c r="E83" s="8" t="s">
        <v>506</v>
      </c>
      <c r="F83" s="8" t="s">
        <v>507</v>
      </c>
      <c r="G83" s="6" t="s">
        <v>83</v>
      </c>
      <c r="H83" s="6" t="s">
        <v>38</v>
      </c>
      <c r="I83" s="8" t="s">
        <v>164</v>
      </c>
      <c r="J83" s="9">
        <v>1</v>
      </c>
      <c r="K83" s="9">
        <v>223</v>
      </c>
      <c r="L83" s="9">
        <v>2024</v>
      </c>
      <c r="M83" s="8" t="s">
        <v>607</v>
      </c>
      <c r="N83" s="8" t="s">
        <v>74</v>
      </c>
      <c r="O83" s="8" t="s">
        <v>75</v>
      </c>
      <c r="P83" s="6" t="s">
        <v>55</v>
      </c>
      <c r="Q83" s="8" t="s">
        <v>56</v>
      </c>
      <c r="R83" s="10" t="s">
        <v>296</v>
      </c>
      <c r="S83" s="11" t="s">
        <v>608</v>
      </c>
      <c r="T83" s="6"/>
      <c r="U83" s="28" t="str">
        <f>HYPERLINK("https://media.infra-m.ru/2104/2104868/cover/2104868.jpg", "Обложка")</f>
        <v>Обложка</v>
      </c>
      <c r="V83" s="28" t="str">
        <f>HYPERLINK("https://znanium.ru/catalog/product/1914776", "Ознакомиться")</f>
        <v>Ознакомиться</v>
      </c>
      <c r="W83" s="8" t="s">
        <v>511</v>
      </c>
      <c r="X83" s="6"/>
      <c r="Y83" s="6"/>
      <c r="Z83" s="6"/>
      <c r="AA83" s="6" t="s">
        <v>47</v>
      </c>
    </row>
    <row r="84" spans="1:27" s="4" customFormat="1" ht="51.95" customHeight="1">
      <c r="A84" s="5">
        <v>0</v>
      </c>
      <c r="B84" s="6" t="s">
        <v>609</v>
      </c>
      <c r="C84" s="7">
        <v>1780</v>
      </c>
      <c r="D84" s="8" t="s">
        <v>610</v>
      </c>
      <c r="E84" s="8" t="s">
        <v>611</v>
      </c>
      <c r="F84" s="8" t="s">
        <v>215</v>
      </c>
      <c r="G84" s="6" t="s">
        <v>123</v>
      </c>
      <c r="H84" s="6" t="s">
        <v>38</v>
      </c>
      <c r="I84" s="8" t="s">
        <v>216</v>
      </c>
      <c r="J84" s="9">
        <v>1</v>
      </c>
      <c r="K84" s="9">
        <v>371</v>
      </c>
      <c r="L84" s="9">
        <v>2024</v>
      </c>
      <c r="M84" s="8" t="s">
        <v>612</v>
      </c>
      <c r="N84" s="8" t="s">
        <v>74</v>
      </c>
      <c r="O84" s="8" t="s">
        <v>75</v>
      </c>
      <c r="P84" s="6" t="s">
        <v>176</v>
      </c>
      <c r="Q84" s="8" t="s">
        <v>207</v>
      </c>
      <c r="R84" s="10" t="s">
        <v>613</v>
      </c>
      <c r="S84" s="11"/>
      <c r="T84" s="6"/>
      <c r="U84" s="28" t="str">
        <f>HYPERLINK("https://media.infra-m.ru/2049/2049710/cover/2049710.jpg", "Обложка")</f>
        <v>Обложка</v>
      </c>
      <c r="V84" s="28" t="str">
        <f>HYPERLINK("https://znanium.ru/catalog/product/2049710", "Ознакомиться")</f>
        <v>Ознакомиться</v>
      </c>
      <c r="W84" s="8" t="s">
        <v>140</v>
      </c>
      <c r="X84" s="6" t="s">
        <v>503</v>
      </c>
      <c r="Y84" s="6"/>
      <c r="Z84" s="6"/>
      <c r="AA84" s="6" t="s">
        <v>180</v>
      </c>
    </row>
    <row r="85" spans="1:27" s="4" customFormat="1" ht="51.95" customHeight="1">
      <c r="A85" s="5">
        <v>0</v>
      </c>
      <c r="B85" s="6" t="s">
        <v>614</v>
      </c>
      <c r="C85" s="13">
        <v>990</v>
      </c>
      <c r="D85" s="8" t="s">
        <v>615</v>
      </c>
      <c r="E85" s="8" t="s">
        <v>616</v>
      </c>
      <c r="F85" s="8" t="s">
        <v>617</v>
      </c>
      <c r="G85" s="6" t="s">
        <v>37</v>
      </c>
      <c r="H85" s="6" t="s">
        <v>618</v>
      </c>
      <c r="I85" s="8"/>
      <c r="J85" s="9">
        <v>1</v>
      </c>
      <c r="K85" s="9">
        <v>208</v>
      </c>
      <c r="L85" s="9">
        <v>2024</v>
      </c>
      <c r="M85" s="8" t="s">
        <v>619</v>
      </c>
      <c r="N85" s="8" t="s">
        <v>74</v>
      </c>
      <c r="O85" s="8" t="s">
        <v>75</v>
      </c>
      <c r="P85" s="6" t="s">
        <v>176</v>
      </c>
      <c r="Q85" s="8" t="s">
        <v>56</v>
      </c>
      <c r="R85" s="10" t="s">
        <v>620</v>
      </c>
      <c r="S85" s="11" t="s">
        <v>621</v>
      </c>
      <c r="T85" s="6"/>
      <c r="U85" s="28" t="str">
        <f>HYPERLINK("https://media.infra-m.ru/2129/2129513/cover/2129513.jpg", "Обложка")</f>
        <v>Обложка</v>
      </c>
      <c r="V85" s="28" t="str">
        <f>HYPERLINK("https://znanium.ru/catalog/product/2129513", "Ознакомиться")</f>
        <v>Ознакомиться</v>
      </c>
      <c r="W85" s="8" t="s">
        <v>622</v>
      </c>
      <c r="X85" s="6"/>
      <c r="Y85" s="6"/>
      <c r="Z85" s="6"/>
      <c r="AA85" s="6" t="s">
        <v>364</v>
      </c>
    </row>
    <row r="86" spans="1:27" s="4" customFormat="1" ht="51.95" customHeight="1">
      <c r="A86" s="5">
        <v>0</v>
      </c>
      <c r="B86" s="6" t="s">
        <v>623</v>
      </c>
      <c r="C86" s="13">
        <v>970</v>
      </c>
      <c r="D86" s="8" t="s">
        <v>624</v>
      </c>
      <c r="E86" s="8" t="s">
        <v>616</v>
      </c>
      <c r="F86" s="8" t="s">
        <v>617</v>
      </c>
      <c r="G86" s="6" t="s">
        <v>83</v>
      </c>
      <c r="H86" s="6" t="s">
        <v>618</v>
      </c>
      <c r="I86" s="8" t="s">
        <v>205</v>
      </c>
      <c r="J86" s="9">
        <v>1</v>
      </c>
      <c r="K86" s="9">
        <v>208</v>
      </c>
      <c r="L86" s="9">
        <v>2024</v>
      </c>
      <c r="M86" s="8" t="s">
        <v>625</v>
      </c>
      <c r="N86" s="8" t="s">
        <v>74</v>
      </c>
      <c r="O86" s="8" t="s">
        <v>75</v>
      </c>
      <c r="P86" s="6" t="s">
        <v>176</v>
      </c>
      <c r="Q86" s="8" t="s">
        <v>207</v>
      </c>
      <c r="R86" s="10" t="s">
        <v>232</v>
      </c>
      <c r="S86" s="11" t="s">
        <v>621</v>
      </c>
      <c r="T86" s="6"/>
      <c r="U86" s="28" t="str">
        <f>HYPERLINK("https://media.infra-m.ru/2037/2037340/cover/2037340.jpg", "Обложка")</f>
        <v>Обложка</v>
      </c>
      <c r="V86" s="28" t="str">
        <f>HYPERLINK("https://znanium.ru/catalog/product/2037340", "Ознакомиться")</f>
        <v>Ознакомиться</v>
      </c>
      <c r="W86" s="8" t="s">
        <v>622</v>
      </c>
      <c r="X86" s="6"/>
      <c r="Y86" s="6"/>
      <c r="Z86" s="6" t="s">
        <v>235</v>
      </c>
      <c r="AA86" s="6" t="s">
        <v>68</v>
      </c>
    </row>
    <row r="87" spans="1:27" s="4" customFormat="1" ht="51.95" customHeight="1">
      <c r="A87" s="5">
        <v>0</v>
      </c>
      <c r="B87" s="6" t="s">
        <v>626</v>
      </c>
      <c r="C87" s="7">
        <v>2562</v>
      </c>
      <c r="D87" s="8" t="s">
        <v>627</v>
      </c>
      <c r="E87" s="8" t="s">
        <v>628</v>
      </c>
      <c r="F87" s="8" t="s">
        <v>629</v>
      </c>
      <c r="G87" s="6" t="s">
        <v>37</v>
      </c>
      <c r="H87" s="6" t="s">
        <v>630</v>
      </c>
      <c r="I87" s="8"/>
      <c r="J87" s="9">
        <v>1</v>
      </c>
      <c r="K87" s="9">
        <v>400</v>
      </c>
      <c r="L87" s="9">
        <v>2023</v>
      </c>
      <c r="M87" s="8" t="s">
        <v>631</v>
      </c>
      <c r="N87" s="8" t="s">
        <v>74</v>
      </c>
      <c r="O87" s="8" t="s">
        <v>75</v>
      </c>
      <c r="P87" s="6" t="s">
        <v>176</v>
      </c>
      <c r="Q87" s="8" t="s">
        <v>594</v>
      </c>
      <c r="R87" s="10" t="s">
        <v>632</v>
      </c>
      <c r="S87" s="11" t="s">
        <v>633</v>
      </c>
      <c r="T87" s="6"/>
      <c r="U87" s="28" t="str">
        <f>HYPERLINK("https://media.infra-m.ru/1976/1976095/cover/1976095.jpg", "Обложка")</f>
        <v>Обложка</v>
      </c>
      <c r="V87" s="28" t="str">
        <f>HYPERLINK("https://znanium.ru/catalog/product/1976095", "Ознакомиться")</f>
        <v>Ознакомиться</v>
      </c>
      <c r="W87" s="8" t="s">
        <v>634</v>
      </c>
      <c r="X87" s="6"/>
      <c r="Y87" s="6"/>
      <c r="Z87" s="6"/>
      <c r="AA87" s="6" t="s">
        <v>635</v>
      </c>
    </row>
    <row r="88" spans="1:27" s="4" customFormat="1" ht="51.95" customHeight="1">
      <c r="A88" s="5">
        <v>0</v>
      </c>
      <c r="B88" s="6" t="s">
        <v>636</v>
      </c>
      <c r="C88" s="7">
        <v>2380</v>
      </c>
      <c r="D88" s="8" t="s">
        <v>637</v>
      </c>
      <c r="E88" s="8" t="s">
        <v>638</v>
      </c>
      <c r="F88" s="8" t="s">
        <v>215</v>
      </c>
      <c r="G88" s="6" t="s">
        <v>123</v>
      </c>
      <c r="H88" s="6" t="s">
        <v>38</v>
      </c>
      <c r="I88" s="8" t="s">
        <v>216</v>
      </c>
      <c r="J88" s="9">
        <v>1</v>
      </c>
      <c r="K88" s="9">
        <v>503</v>
      </c>
      <c r="L88" s="9">
        <v>2024</v>
      </c>
      <c r="M88" s="8" t="s">
        <v>639</v>
      </c>
      <c r="N88" s="8" t="s">
        <v>74</v>
      </c>
      <c r="O88" s="8" t="s">
        <v>75</v>
      </c>
      <c r="P88" s="6" t="s">
        <v>176</v>
      </c>
      <c r="Q88" s="8" t="s">
        <v>207</v>
      </c>
      <c r="R88" s="10" t="s">
        <v>640</v>
      </c>
      <c r="S88" s="11"/>
      <c r="T88" s="6" t="s">
        <v>190</v>
      </c>
      <c r="U88" s="28" t="str">
        <f>HYPERLINK("https://media.infra-m.ru/1853/1853808/cover/1853808.jpg", "Обложка")</f>
        <v>Обложка</v>
      </c>
      <c r="V88" s="28" t="str">
        <f>HYPERLINK("https://znanium.ru/catalog/product/1853808", "Ознакомиться")</f>
        <v>Ознакомиться</v>
      </c>
      <c r="W88" s="8" t="s">
        <v>140</v>
      </c>
      <c r="X88" s="6" t="s">
        <v>641</v>
      </c>
      <c r="Y88" s="6"/>
      <c r="Z88" s="6"/>
      <c r="AA88" s="6" t="s">
        <v>180</v>
      </c>
    </row>
    <row r="89" spans="1:27" s="4" customFormat="1" ht="51.95" customHeight="1">
      <c r="A89" s="5">
        <v>0</v>
      </c>
      <c r="B89" s="6" t="s">
        <v>642</v>
      </c>
      <c r="C89" s="13">
        <v>630</v>
      </c>
      <c r="D89" s="8" t="s">
        <v>643</v>
      </c>
      <c r="E89" s="8" t="s">
        <v>644</v>
      </c>
      <c r="F89" s="8" t="s">
        <v>645</v>
      </c>
      <c r="G89" s="6" t="s">
        <v>37</v>
      </c>
      <c r="H89" s="6" t="s">
        <v>38</v>
      </c>
      <c r="I89" s="8" t="s">
        <v>646</v>
      </c>
      <c r="J89" s="9">
        <v>1</v>
      </c>
      <c r="K89" s="9">
        <v>140</v>
      </c>
      <c r="L89" s="9">
        <v>2023</v>
      </c>
      <c r="M89" s="8" t="s">
        <v>647</v>
      </c>
      <c r="N89" s="8" t="s">
        <v>74</v>
      </c>
      <c r="O89" s="8" t="s">
        <v>75</v>
      </c>
      <c r="P89" s="6" t="s">
        <v>55</v>
      </c>
      <c r="Q89" s="8" t="s">
        <v>177</v>
      </c>
      <c r="R89" s="10" t="s">
        <v>648</v>
      </c>
      <c r="S89" s="11" t="s">
        <v>649</v>
      </c>
      <c r="T89" s="6"/>
      <c r="U89" s="28" t="str">
        <f>HYPERLINK("https://media.infra-m.ru/1937/1937985/cover/1937985.jpg", "Обложка")</f>
        <v>Обложка</v>
      </c>
      <c r="V89" s="12"/>
      <c r="W89" s="8" t="s">
        <v>327</v>
      </c>
      <c r="X89" s="6"/>
      <c r="Y89" s="6"/>
      <c r="Z89" s="6"/>
      <c r="AA89" s="6" t="s">
        <v>650</v>
      </c>
    </row>
    <row r="90" spans="1:27" s="4" customFormat="1" ht="51.95" customHeight="1">
      <c r="A90" s="5">
        <v>0</v>
      </c>
      <c r="B90" s="6" t="s">
        <v>651</v>
      </c>
      <c r="C90" s="7">
        <v>1270</v>
      </c>
      <c r="D90" s="8" t="s">
        <v>652</v>
      </c>
      <c r="E90" s="8" t="s">
        <v>653</v>
      </c>
      <c r="F90" s="8" t="s">
        <v>654</v>
      </c>
      <c r="G90" s="6" t="s">
        <v>83</v>
      </c>
      <c r="H90" s="6" t="s">
        <v>38</v>
      </c>
      <c r="I90" s="8" t="s">
        <v>205</v>
      </c>
      <c r="J90" s="9">
        <v>1</v>
      </c>
      <c r="K90" s="9">
        <v>266</v>
      </c>
      <c r="L90" s="9">
        <v>2024</v>
      </c>
      <c r="M90" s="8" t="s">
        <v>655</v>
      </c>
      <c r="N90" s="8" t="s">
        <v>74</v>
      </c>
      <c r="O90" s="8" t="s">
        <v>75</v>
      </c>
      <c r="P90" s="6" t="s">
        <v>176</v>
      </c>
      <c r="Q90" s="8" t="s">
        <v>207</v>
      </c>
      <c r="R90" s="10" t="s">
        <v>581</v>
      </c>
      <c r="S90" s="11" t="s">
        <v>656</v>
      </c>
      <c r="T90" s="6"/>
      <c r="U90" s="28" t="str">
        <f>HYPERLINK("https://media.infra-m.ru/2130/2130251/cover/2130251.jpg", "Обложка")</f>
        <v>Обложка</v>
      </c>
      <c r="V90" s="28" t="str">
        <f>HYPERLINK("https://znanium.ru/catalog/product/2130251", "Ознакомиться")</f>
        <v>Ознакомиться</v>
      </c>
      <c r="W90" s="8" t="s">
        <v>657</v>
      </c>
      <c r="X90" s="6"/>
      <c r="Y90" s="6"/>
      <c r="Z90" s="6"/>
      <c r="AA90" s="6" t="s">
        <v>111</v>
      </c>
    </row>
    <row r="91" spans="1:27" s="4" customFormat="1" ht="51.95" customHeight="1">
      <c r="A91" s="5">
        <v>0</v>
      </c>
      <c r="B91" s="6" t="s">
        <v>658</v>
      </c>
      <c r="C91" s="7">
        <v>3600</v>
      </c>
      <c r="D91" s="8" t="s">
        <v>659</v>
      </c>
      <c r="E91" s="8" t="s">
        <v>660</v>
      </c>
      <c r="F91" s="8" t="s">
        <v>215</v>
      </c>
      <c r="G91" s="6" t="s">
        <v>123</v>
      </c>
      <c r="H91" s="6" t="s">
        <v>38</v>
      </c>
      <c r="I91" s="8" t="s">
        <v>216</v>
      </c>
      <c r="J91" s="9">
        <v>1</v>
      </c>
      <c r="K91" s="9">
        <v>782</v>
      </c>
      <c r="L91" s="9">
        <v>2024</v>
      </c>
      <c r="M91" s="8" t="s">
        <v>661</v>
      </c>
      <c r="N91" s="8" t="s">
        <v>74</v>
      </c>
      <c r="O91" s="8" t="s">
        <v>75</v>
      </c>
      <c r="P91" s="6" t="s">
        <v>176</v>
      </c>
      <c r="Q91" s="8" t="s">
        <v>207</v>
      </c>
      <c r="R91" s="10" t="s">
        <v>662</v>
      </c>
      <c r="S91" s="11"/>
      <c r="T91" s="6"/>
      <c r="U91" s="28" t="str">
        <f>HYPERLINK("https://media.infra-m.ru/1896/1896108/cover/1896108.jpg", "Обложка")</f>
        <v>Обложка</v>
      </c>
      <c r="V91" s="28" t="str">
        <f>HYPERLINK("https://znanium.ru/catalog/product/1896108", "Ознакомиться")</f>
        <v>Ознакомиться</v>
      </c>
      <c r="W91" s="8" t="s">
        <v>140</v>
      </c>
      <c r="X91" s="6" t="s">
        <v>582</v>
      </c>
      <c r="Y91" s="6"/>
      <c r="Z91" s="6"/>
      <c r="AA91" s="6" t="s">
        <v>180</v>
      </c>
    </row>
    <row r="92" spans="1:27" s="4" customFormat="1" ht="42" customHeight="1">
      <c r="A92" s="5">
        <v>0</v>
      </c>
      <c r="B92" s="6" t="s">
        <v>663</v>
      </c>
      <c r="C92" s="7">
        <v>1250</v>
      </c>
      <c r="D92" s="8" t="s">
        <v>664</v>
      </c>
      <c r="E92" s="8" t="s">
        <v>665</v>
      </c>
      <c r="F92" s="8" t="s">
        <v>173</v>
      </c>
      <c r="G92" s="6" t="s">
        <v>123</v>
      </c>
      <c r="H92" s="6" t="s">
        <v>38</v>
      </c>
      <c r="I92" s="8" t="s">
        <v>174</v>
      </c>
      <c r="J92" s="9">
        <v>1</v>
      </c>
      <c r="K92" s="9">
        <v>258</v>
      </c>
      <c r="L92" s="9">
        <v>2024</v>
      </c>
      <c r="M92" s="8" t="s">
        <v>666</v>
      </c>
      <c r="N92" s="8" t="s">
        <v>74</v>
      </c>
      <c r="O92" s="8" t="s">
        <v>75</v>
      </c>
      <c r="P92" s="6" t="s">
        <v>176</v>
      </c>
      <c r="Q92" s="8" t="s">
        <v>594</v>
      </c>
      <c r="R92" s="10" t="s">
        <v>667</v>
      </c>
      <c r="S92" s="11"/>
      <c r="T92" s="6"/>
      <c r="U92" s="28" t="str">
        <f>HYPERLINK("https://media.infra-m.ru/2130/2130666/cover/2130666.jpg", "Обложка")</f>
        <v>Обложка</v>
      </c>
      <c r="V92" s="28" t="str">
        <f>HYPERLINK("https://znanium.ru/catalog/product/2130666", "Ознакомиться")</f>
        <v>Ознакомиться</v>
      </c>
      <c r="W92" s="8" t="s">
        <v>140</v>
      </c>
      <c r="X92" s="6" t="s">
        <v>668</v>
      </c>
      <c r="Y92" s="6"/>
      <c r="Z92" s="6"/>
      <c r="AA92" s="6" t="s">
        <v>180</v>
      </c>
    </row>
    <row r="93" spans="1:27" s="4" customFormat="1" ht="51.95" customHeight="1">
      <c r="A93" s="5">
        <v>0</v>
      </c>
      <c r="B93" s="6" t="s">
        <v>669</v>
      </c>
      <c r="C93" s="13">
        <v>907</v>
      </c>
      <c r="D93" s="8" t="s">
        <v>670</v>
      </c>
      <c r="E93" s="8" t="s">
        <v>671</v>
      </c>
      <c r="F93" s="8" t="s">
        <v>672</v>
      </c>
      <c r="G93" s="6" t="s">
        <v>37</v>
      </c>
      <c r="H93" s="6" t="s">
        <v>52</v>
      </c>
      <c r="I93" s="8" t="s">
        <v>155</v>
      </c>
      <c r="J93" s="9">
        <v>1</v>
      </c>
      <c r="K93" s="9">
        <v>152</v>
      </c>
      <c r="L93" s="9">
        <v>2023</v>
      </c>
      <c r="M93" s="8" t="s">
        <v>673</v>
      </c>
      <c r="N93" s="8" t="s">
        <v>74</v>
      </c>
      <c r="O93" s="8" t="s">
        <v>75</v>
      </c>
      <c r="P93" s="6" t="s">
        <v>55</v>
      </c>
      <c r="Q93" s="8" t="s">
        <v>56</v>
      </c>
      <c r="R93" s="10" t="s">
        <v>674</v>
      </c>
      <c r="S93" s="11" t="s">
        <v>675</v>
      </c>
      <c r="T93" s="6"/>
      <c r="U93" s="28" t="str">
        <f>HYPERLINK("https://media.infra-m.ru/1913/1913639/cover/1913639.jpg", "Обложка")</f>
        <v>Обложка</v>
      </c>
      <c r="V93" s="28" t="str">
        <f>HYPERLINK("https://znanium.ru/catalog/product/1913639", "Ознакомиться")</f>
        <v>Ознакомиться</v>
      </c>
      <c r="W93" s="8" t="s">
        <v>511</v>
      </c>
      <c r="X93" s="6"/>
      <c r="Y93" s="6"/>
      <c r="Z93" s="6"/>
      <c r="AA93" s="6" t="s">
        <v>676</v>
      </c>
    </row>
    <row r="94" spans="1:27" s="4" customFormat="1" ht="51.95" customHeight="1">
      <c r="A94" s="5">
        <v>0</v>
      </c>
      <c r="B94" s="6" t="s">
        <v>677</v>
      </c>
      <c r="C94" s="7">
        <v>1140</v>
      </c>
      <c r="D94" s="8" t="s">
        <v>678</v>
      </c>
      <c r="E94" s="8" t="s">
        <v>679</v>
      </c>
      <c r="F94" s="8" t="s">
        <v>507</v>
      </c>
      <c r="G94" s="6" t="s">
        <v>83</v>
      </c>
      <c r="H94" s="6" t="s">
        <v>38</v>
      </c>
      <c r="I94" s="8" t="s">
        <v>164</v>
      </c>
      <c r="J94" s="9">
        <v>1</v>
      </c>
      <c r="K94" s="9">
        <v>270</v>
      </c>
      <c r="L94" s="9">
        <v>2022</v>
      </c>
      <c r="M94" s="8" t="s">
        <v>680</v>
      </c>
      <c r="N94" s="8" t="s">
        <v>74</v>
      </c>
      <c r="O94" s="8" t="s">
        <v>75</v>
      </c>
      <c r="P94" s="6" t="s">
        <v>55</v>
      </c>
      <c r="Q94" s="8" t="s">
        <v>56</v>
      </c>
      <c r="R94" s="10" t="s">
        <v>681</v>
      </c>
      <c r="S94" s="11" t="s">
        <v>682</v>
      </c>
      <c r="T94" s="6" t="s">
        <v>190</v>
      </c>
      <c r="U94" s="28" t="str">
        <f>HYPERLINK("https://media.infra-m.ru/1843/1843178/cover/1843178.jpg", "Обложка")</f>
        <v>Обложка</v>
      </c>
      <c r="V94" s="28" t="str">
        <f>HYPERLINK("https://znanium.ru/catalog/product/1843178", "Ознакомиться")</f>
        <v>Ознакомиться</v>
      </c>
      <c r="W94" s="8" t="s">
        <v>511</v>
      </c>
      <c r="X94" s="6"/>
      <c r="Y94" s="6"/>
      <c r="Z94" s="6"/>
      <c r="AA94" s="6" t="s">
        <v>193</v>
      </c>
    </row>
    <row r="95" spans="1:27" s="4" customFormat="1" ht="51.95" customHeight="1">
      <c r="A95" s="5">
        <v>0</v>
      </c>
      <c r="B95" s="6" t="s">
        <v>683</v>
      </c>
      <c r="C95" s="7">
        <v>1190</v>
      </c>
      <c r="D95" s="8" t="s">
        <v>684</v>
      </c>
      <c r="E95" s="8" t="s">
        <v>685</v>
      </c>
      <c r="F95" s="8" t="s">
        <v>686</v>
      </c>
      <c r="G95" s="6" t="s">
        <v>83</v>
      </c>
      <c r="H95" s="6" t="s">
        <v>38</v>
      </c>
      <c r="I95" s="8" t="s">
        <v>205</v>
      </c>
      <c r="J95" s="9">
        <v>1</v>
      </c>
      <c r="K95" s="9">
        <v>252</v>
      </c>
      <c r="L95" s="9">
        <v>2024</v>
      </c>
      <c r="M95" s="8" t="s">
        <v>687</v>
      </c>
      <c r="N95" s="8" t="s">
        <v>74</v>
      </c>
      <c r="O95" s="8" t="s">
        <v>75</v>
      </c>
      <c r="P95" s="6" t="s">
        <v>55</v>
      </c>
      <c r="Q95" s="8" t="s">
        <v>207</v>
      </c>
      <c r="R95" s="10" t="s">
        <v>688</v>
      </c>
      <c r="S95" s="11" t="s">
        <v>689</v>
      </c>
      <c r="T95" s="6"/>
      <c r="U95" s="28" t="str">
        <f>HYPERLINK("https://media.infra-m.ru/2104/2104118/cover/2104118.jpg", "Обложка")</f>
        <v>Обложка</v>
      </c>
      <c r="V95" s="28" t="str">
        <f>HYPERLINK("https://znanium.ru/catalog/product/2104118", "Ознакомиться")</f>
        <v>Ознакомиться</v>
      </c>
      <c r="W95" s="8" t="s">
        <v>690</v>
      </c>
      <c r="X95" s="6"/>
      <c r="Y95" s="6" t="s">
        <v>30</v>
      </c>
      <c r="Z95" s="6"/>
      <c r="AA95" s="6" t="s">
        <v>141</v>
      </c>
    </row>
    <row r="96" spans="1:27" s="4" customFormat="1" ht="51.95" customHeight="1">
      <c r="A96" s="5">
        <v>0</v>
      </c>
      <c r="B96" s="6" t="s">
        <v>691</v>
      </c>
      <c r="C96" s="7">
        <v>1304</v>
      </c>
      <c r="D96" s="8" t="s">
        <v>692</v>
      </c>
      <c r="E96" s="8" t="s">
        <v>693</v>
      </c>
      <c r="F96" s="8" t="s">
        <v>694</v>
      </c>
      <c r="G96" s="6" t="s">
        <v>37</v>
      </c>
      <c r="H96" s="6" t="s">
        <v>630</v>
      </c>
      <c r="I96" s="8"/>
      <c r="J96" s="9">
        <v>1</v>
      </c>
      <c r="K96" s="9">
        <v>160</v>
      </c>
      <c r="L96" s="9">
        <v>2023</v>
      </c>
      <c r="M96" s="8" t="s">
        <v>695</v>
      </c>
      <c r="N96" s="8" t="s">
        <v>74</v>
      </c>
      <c r="O96" s="8" t="s">
        <v>75</v>
      </c>
      <c r="P96" s="6" t="s">
        <v>55</v>
      </c>
      <c r="Q96" s="8" t="s">
        <v>56</v>
      </c>
      <c r="R96" s="10" t="s">
        <v>696</v>
      </c>
      <c r="S96" s="11" t="s">
        <v>697</v>
      </c>
      <c r="T96" s="6" t="s">
        <v>190</v>
      </c>
      <c r="U96" s="28" t="str">
        <f>HYPERLINK("https://media.infra-m.ru/1912/1912959/cover/1912959.jpg", "Обложка")</f>
        <v>Обложка</v>
      </c>
      <c r="V96" s="28" t="str">
        <f>HYPERLINK("https://znanium.ru/catalog/product/1912959", "Ознакомиться")</f>
        <v>Ознакомиться</v>
      </c>
      <c r="W96" s="8" t="s">
        <v>140</v>
      </c>
      <c r="X96" s="6"/>
      <c r="Y96" s="6"/>
      <c r="Z96" s="6"/>
      <c r="AA96" s="6" t="s">
        <v>676</v>
      </c>
    </row>
    <row r="97" spans="1:27" s="4" customFormat="1" ht="42" customHeight="1">
      <c r="A97" s="5">
        <v>0</v>
      </c>
      <c r="B97" s="6" t="s">
        <v>698</v>
      </c>
      <c r="C97" s="13">
        <v>920</v>
      </c>
      <c r="D97" s="8" t="s">
        <v>699</v>
      </c>
      <c r="E97" s="8" t="s">
        <v>700</v>
      </c>
      <c r="F97" s="8" t="s">
        <v>701</v>
      </c>
      <c r="G97" s="6" t="s">
        <v>83</v>
      </c>
      <c r="H97" s="6" t="s">
        <v>317</v>
      </c>
      <c r="I97" s="8" t="s">
        <v>155</v>
      </c>
      <c r="J97" s="9">
        <v>1</v>
      </c>
      <c r="K97" s="9">
        <v>192</v>
      </c>
      <c r="L97" s="9">
        <v>2024</v>
      </c>
      <c r="M97" s="8" t="s">
        <v>702</v>
      </c>
      <c r="N97" s="8" t="s">
        <v>74</v>
      </c>
      <c r="O97" s="8" t="s">
        <v>75</v>
      </c>
      <c r="P97" s="6" t="s">
        <v>176</v>
      </c>
      <c r="Q97" s="8" t="s">
        <v>177</v>
      </c>
      <c r="R97" s="10" t="s">
        <v>703</v>
      </c>
      <c r="S97" s="11"/>
      <c r="T97" s="6"/>
      <c r="U97" s="28" t="str">
        <f>HYPERLINK("https://media.infra-m.ru/2078/2078399/cover/2078399.jpg", "Обложка")</f>
        <v>Обложка</v>
      </c>
      <c r="V97" s="28" t="str">
        <f>HYPERLINK("https://znanium.ru/catalog/product/2078399", "Ознакомиться")</f>
        <v>Ознакомиться</v>
      </c>
      <c r="W97" s="8" t="s">
        <v>200</v>
      </c>
      <c r="X97" s="6"/>
      <c r="Y97" s="6"/>
      <c r="Z97" s="6"/>
      <c r="AA97" s="6" t="s">
        <v>364</v>
      </c>
    </row>
    <row r="98" spans="1:27" s="4" customFormat="1" ht="51.95" customHeight="1">
      <c r="A98" s="5">
        <v>0</v>
      </c>
      <c r="B98" s="6" t="s">
        <v>704</v>
      </c>
      <c r="C98" s="13">
        <v>804</v>
      </c>
      <c r="D98" s="8" t="s">
        <v>705</v>
      </c>
      <c r="E98" s="8" t="s">
        <v>706</v>
      </c>
      <c r="F98" s="8" t="s">
        <v>567</v>
      </c>
      <c r="G98" s="6" t="s">
        <v>123</v>
      </c>
      <c r="H98" s="6" t="s">
        <v>38</v>
      </c>
      <c r="I98" s="8" t="s">
        <v>164</v>
      </c>
      <c r="J98" s="9">
        <v>1</v>
      </c>
      <c r="K98" s="9">
        <v>176</v>
      </c>
      <c r="L98" s="9">
        <v>2024</v>
      </c>
      <c r="M98" s="8" t="s">
        <v>707</v>
      </c>
      <c r="N98" s="8" t="s">
        <v>74</v>
      </c>
      <c r="O98" s="8" t="s">
        <v>75</v>
      </c>
      <c r="P98" s="6" t="s">
        <v>55</v>
      </c>
      <c r="Q98" s="8" t="s">
        <v>56</v>
      </c>
      <c r="R98" s="10" t="s">
        <v>708</v>
      </c>
      <c r="S98" s="11" t="s">
        <v>709</v>
      </c>
      <c r="T98" s="6"/>
      <c r="U98" s="28" t="str">
        <f>HYPERLINK("https://media.infra-m.ru/2104/2104116/cover/2104116.jpg", "Обложка")</f>
        <v>Обложка</v>
      </c>
      <c r="V98" s="28" t="str">
        <f>HYPERLINK("https://znanium.ru/catalog/product/1838387", "Ознакомиться")</f>
        <v>Ознакомиться</v>
      </c>
      <c r="W98" s="8" t="s">
        <v>571</v>
      </c>
      <c r="X98" s="6"/>
      <c r="Y98" s="6"/>
      <c r="Z98" s="6"/>
      <c r="AA98" s="6" t="s">
        <v>312</v>
      </c>
    </row>
    <row r="99" spans="1:27" s="4" customFormat="1" ht="42" customHeight="1">
      <c r="A99" s="5">
        <v>0</v>
      </c>
      <c r="B99" s="6" t="s">
        <v>710</v>
      </c>
      <c r="C99" s="13">
        <v>650</v>
      </c>
      <c r="D99" s="8" t="s">
        <v>711</v>
      </c>
      <c r="E99" s="8" t="s">
        <v>712</v>
      </c>
      <c r="F99" s="8" t="s">
        <v>713</v>
      </c>
      <c r="G99" s="6" t="s">
        <v>123</v>
      </c>
      <c r="H99" s="6" t="s">
        <v>38</v>
      </c>
      <c r="I99" s="8" t="s">
        <v>500</v>
      </c>
      <c r="J99" s="9">
        <v>1</v>
      </c>
      <c r="K99" s="9">
        <v>126</v>
      </c>
      <c r="L99" s="9">
        <v>2024</v>
      </c>
      <c r="M99" s="8" t="s">
        <v>714</v>
      </c>
      <c r="N99" s="8" t="s">
        <v>74</v>
      </c>
      <c r="O99" s="8" t="s">
        <v>75</v>
      </c>
      <c r="P99" s="6" t="s">
        <v>55</v>
      </c>
      <c r="Q99" s="8" t="s">
        <v>177</v>
      </c>
      <c r="R99" s="10" t="s">
        <v>715</v>
      </c>
      <c r="S99" s="11"/>
      <c r="T99" s="6"/>
      <c r="U99" s="28" t="str">
        <f>HYPERLINK("https://media.infra-m.ru/2130/2130229/cover/2130229.jpg", "Обложка")</f>
        <v>Обложка</v>
      </c>
      <c r="V99" s="12"/>
      <c r="W99" s="8" t="s">
        <v>327</v>
      </c>
      <c r="X99" s="6" t="s">
        <v>582</v>
      </c>
      <c r="Y99" s="6"/>
      <c r="Z99" s="6"/>
      <c r="AA99" s="6" t="s">
        <v>180</v>
      </c>
    </row>
    <row r="100" spans="1:27" s="4" customFormat="1" ht="51.95" customHeight="1">
      <c r="A100" s="5">
        <v>0</v>
      </c>
      <c r="B100" s="6" t="s">
        <v>716</v>
      </c>
      <c r="C100" s="7">
        <v>1370</v>
      </c>
      <c r="D100" s="8" t="s">
        <v>717</v>
      </c>
      <c r="E100" s="8" t="s">
        <v>560</v>
      </c>
      <c r="F100" s="8" t="s">
        <v>215</v>
      </c>
      <c r="G100" s="6" t="s">
        <v>123</v>
      </c>
      <c r="H100" s="6" t="s">
        <v>38</v>
      </c>
      <c r="I100" s="8" t="s">
        <v>164</v>
      </c>
      <c r="J100" s="9">
        <v>1</v>
      </c>
      <c r="K100" s="9">
        <v>358</v>
      </c>
      <c r="L100" s="9">
        <v>2022</v>
      </c>
      <c r="M100" s="8" t="s">
        <v>718</v>
      </c>
      <c r="N100" s="8" t="s">
        <v>74</v>
      </c>
      <c r="O100" s="8" t="s">
        <v>75</v>
      </c>
      <c r="P100" s="6" t="s">
        <v>176</v>
      </c>
      <c r="Q100" s="8" t="s">
        <v>56</v>
      </c>
      <c r="R100" s="10" t="s">
        <v>719</v>
      </c>
      <c r="S100" s="11" t="s">
        <v>720</v>
      </c>
      <c r="T100" s="6"/>
      <c r="U100" s="28" t="str">
        <f>HYPERLINK("https://media.infra-m.ru/1862/1862789/cover/1862789.jpg", "Обложка")</f>
        <v>Обложка</v>
      </c>
      <c r="V100" s="28" t="str">
        <f>HYPERLINK("https://znanium.ru/catalog/product/1862789", "Ознакомиться")</f>
        <v>Ознакомиться</v>
      </c>
      <c r="W100" s="8" t="s">
        <v>140</v>
      </c>
      <c r="X100" s="6"/>
      <c r="Y100" s="6"/>
      <c r="Z100" s="6" t="s">
        <v>283</v>
      </c>
      <c r="AA100" s="6" t="s">
        <v>103</v>
      </c>
    </row>
    <row r="101" spans="1:27" s="4" customFormat="1" ht="42" customHeight="1">
      <c r="A101" s="5">
        <v>0</v>
      </c>
      <c r="B101" s="6" t="s">
        <v>721</v>
      </c>
      <c r="C101" s="13">
        <v>610</v>
      </c>
      <c r="D101" s="8" t="s">
        <v>722</v>
      </c>
      <c r="E101" s="8" t="s">
        <v>723</v>
      </c>
      <c r="F101" s="8" t="s">
        <v>724</v>
      </c>
      <c r="G101" s="6" t="s">
        <v>37</v>
      </c>
      <c r="H101" s="6" t="s">
        <v>725</v>
      </c>
      <c r="I101" s="8"/>
      <c r="J101" s="9">
        <v>1</v>
      </c>
      <c r="K101" s="9">
        <v>128</v>
      </c>
      <c r="L101" s="9">
        <v>2023</v>
      </c>
      <c r="M101" s="8" t="s">
        <v>726</v>
      </c>
      <c r="N101" s="8" t="s">
        <v>74</v>
      </c>
      <c r="O101" s="8" t="s">
        <v>75</v>
      </c>
      <c r="P101" s="6" t="s">
        <v>55</v>
      </c>
      <c r="Q101" s="8" t="s">
        <v>56</v>
      </c>
      <c r="R101" s="10" t="s">
        <v>253</v>
      </c>
      <c r="S101" s="11"/>
      <c r="T101" s="6"/>
      <c r="U101" s="28" t="str">
        <f>HYPERLINK("https://media.infra-m.ru/1959/1959269/cover/1959269.jpg", "Обложка")</f>
        <v>Обложка</v>
      </c>
      <c r="V101" s="28" t="str">
        <f>HYPERLINK("https://znanium.ru/catalog/product/1959269", "Ознакомиться")</f>
        <v>Ознакомиться</v>
      </c>
      <c r="W101" s="8" t="s">
        <v>140</v>
      </c>
      <c r="X101" s="6"/>
      <c r="Y101" s="6"/>
      <c r="Z101" s="6"/>
      <c r="AA101" s="6" t="s">
        <v>141</v>
      </c>
    </row>
    <row r="102" spans="1:27" s="4" customFormat="1" ht="51.95" customHeight="1">
      <c r="A102" s="5">
        <v>0</v>
      </c>
      <c r="B102" s="6" t="s">
        <v>727</v>
      </c>
      <c r="C102" s="13">
        <v>810</v>
      </c>
      <c r="D102" s="8" t="s">
        <v>728</v>
      </c>
      <c r="E102" s="8" t="s">
        <v>729</v>
      </c>
      <c r="F102" s="8" t="s">
        <v>730</v>
      </c>
      <c r="G102" s="6" t="s">
        <v>123</v>
      </c>
      <c r="H102" s="6" t="s">
        <v>38</v>
      </c>
      <c r="I102" s="8" t="s">
        <v>205</v>
      </c>
      <c r="J102" s="9">
        <v>1</v>
      </c>
      <c r="K102" s="9">
        <v>160</v>
      </c>
      <c r="L102" s="9">
        <v>2024</v>
      </c>
      <c r="M102" s="8" t="s">
        <v>731</v>
      </c>
      <c r="N102" s="8" t="s">
        <v>74</v>
      </c>
      <c r="O102" s="8" t="s">
        <v>75</v>
      </c>
      <c r="P102" s="6" t="s">
        <v>55</v>
      </c>
      <c r="Q102" s="8" t="s">
        <v>207</v>
      </c>
      <c r="R102" s="10" t="s">
        <v>732</v>
      </c>
      <c r="S102" s="11"/>
      <c r="T102" s="6"/>
      <c r="U102" s="28" t="str">
        <f>HYPERLINK("https://media.infra-m.ru/1989/1989235/cover/1989235.jpg", "Обложка")</f>
        <v>Обложка</v>
      </c>
      <c r="V102" s="28" t="str">
        <f>HYPERLINK("https://znanium.ru/catalog/product/1989235", "Ознакомиться")</f>
        <v>Ознакомиться</v>
      </c>
      <c r="W102" s="8" t="s">
        <v>733</v>
      </c>
      <c r="X102" s="6" t="s">
        <v>734</v>
      </c>
      <c r="Y102" s="6"/>
      <c r="Z102" s="6"/>
      <c r="AA102" s="6" t="s">
        <v>180</v>
      </c>
    </row>
    <row r="103" spans="1:27" s="4" customFormat="1" ht="42" customHeight="1">
      <c r="A103" s="5">
        <v>0</v>
      </c>
      <c r="B103" s="6" t="s">
        <v>735</v>
      </c>
      <c r="C103" s="7">
        <v>1334.9</v>
      </c>
      <c r="D103" s="8" t="s">
        <v>736</v>
      </c>
      <c r="E103" s="8" t="s">
        <v>737</v>
      </c>
      <c r="F103" s="8" t="s">
        <v>738</v>
      </c>
      <c r="G103" s="6" t="s">
        <v>123</v>
      </c>
      <c r="H103" s="6" t="s">
        <v>38</v>
      </c>
      <c r="I103" s="8" t="s">
        <v>164</v>
      </c>
      <c r="J103" s="9">
        <v>1</v>
      </c>
      <c r="K103" s="9">
        <v>319</v>
      </c>
      <c r="L103" s="9">
        <v>2022</v>
      </c>
      <c r="M103" s="8" t="s">
        <v>739</v>
      </c>
      <c r="N103" s="8" t="s">
        <v>74</v>
      </c>
      <c r="O103" s="8" t="s">
        <v>75</v>
      </c>
      <c r="P103" s="6" t="s">
        <v>55</v>
      </c>
      <c r="Q103" s="8" t="s">
        <v>56</v>
      </c>
      <c r="R103" s="10" t="s">
        <v>166</v>
      </c>
      <c r="S103" s="11"/>
      <c r="T103" s="6"/>
      <c r="U103" s="28" t="str">
        <f>HYPERLINK("https://media.infra-m.ru/1815/1815603/cover/1815603.jpg", "Обложка")</f>
        <v>Обложка</v>
      </c>
      <c r="V103" s="28" t="str">
        <f>HYPERLINK("https://znanium.ru/catalog/product/1815603", "Ознакомиться")</f>
        <v>Ознакомиться</v>
      </c>
      <c r="W103" s="8" t="s">
        <v>273</v>
      </c>
      <c r="X103" s="6"/>
      <c r="Y103" s="6"/>
      <c r="Z103" s="6"/>
      <c r="AA103" s="6" t="s">
        <v>306</v>
      </c>
    </row>
    <row r="104" spans="1:27" s="4" customFormat="1" ht="51.95" customHeight="1">
      <c r="A104" s="5">
        <v>0</v>
      </c>
      <c r="B104" s="6" t="s">
        <v>740</v>
      </c>
      <c r="C104" s="7">
        <v>1130</v>
      </c>
      <c r="D104" s="8" t="s">
        <v>741</v>
      </c>
      <c r="E104" s="8" t="s">
        <v>742</v>
      </c>
      <c r="F104" s="8" t="s">
        <v>743</v>
      </c>
      <c r="G104" s="6" t="s">
        <v>37</v>
      </c>
      <c r="H104" s="6" t="s">
        <v>52</v>
      </c>
      <c r="I104" s="8" t="s">
        <v>164</v>
      </c>
      <c r="J104" s="9">
        <v>1</v>
      </c>
      <c r="K104" s="9">
        <v>192</v>
      </c>
      <c r="L104" s="9">
        <v>2023</v>
      </c>
      <c r="M104" s="8" t="s">
        <v>744</v>
      </c>
      <c r="N104" s="8" t="s">
        <v>74</v>
      </c>
      <c r="O104" s="8" t="s">
        <v>75</v>
      </c>
      <c r="P104" s="6" t="s">
        <v>55</v>
      </c>
      <c r="Q104" s="8" t="s">
        <v>56</v>
      </c>
      <c r="R104" s="10" t="s">
        <v>745</v>
      </c>
      <c r="S104" s="11" t="s">
        <v>746</v>
      </c>
      <c r="T104" s="6"/>
      <c r="U104" s="28" t="str">
        <f>HYPERLINK("https://media.infra-m.ru/1913/1913671/cover/1913671.jpg", "Обложка")</f>
        <v>Обложка</v>
      </c>
      <c r="V104" s="28" t="str">
        <f>HYPERLINK("https://znanium.ru/catalog/product/1913671", "Ознакомиться")</f>
        <v>Ознакомиться</v>
      </c>
      <c r="W104" s="8" t="s">
        <v>571</v>
      </c>
      <c r="X104" s="6"/>
      <c r="Y104" s="6"/>
      <c r="Z104" s="6"/>
      <c r="AA104" s="6" t="s">
        <v>747</v>
      </c>
    </row>
    <row r="105" spans="1:27" s="4" customFormat="1" ht="51.95" customHeight="1">
      <c r="A105" s="5">
        <v>0</v>
      </c>
      <c r="B105" s="6" t="s">
        <v>748</v>
      </c>
      <c r="C105" s="13">
        <v>844.9</v>
      </c>
      <c r="D105" s="8" t="s">
        <v>749</v>
      </c>
      <c r="E105" s="8" t="s">
        <v>742</v>
      </c>
      <c r="F105" s="8" t="s">
        <v>743</v>
      </c>
      <c r="G105" s="6" t="s">
        <v>37</v>
      </c>
      <c r="H105" s="6" t="s">
        <v>52</v>
      </c>
      <c r="I105" s="8" t="s">
        <v>164</v>
      </c>
      <c r="J105" s="9">
        <v>1</v>
      </c>
      <c r="K105" s="9">
        <v>144</v>
      </c>
      <c r="L105" s="9">
        <v>2023</v>
      </c>
      <c r="M105" s="8" t="s">
        <v>750</v>
      </c>
      <c r="N105" s="8" t="s">
        <v>74</v>
      </c>
      <c r="O105" s="8" t="s">
        <v>75</v>
      </c>
      <c r="P105" s="6" t="s">
        <v>55</v>
      </c>
      <c r="Q105" s="8" t="s">
        <v>56</v>
      </c>
      <c r="R105" s="10" t="s">
        <v>751</v>
      </c>
      <c r="S105" s="11" t="s">
        <v>752</v>
      </c>
      <c r="T105" s="6"/>
      <c r="U105" s="28" t="str">
        <f>HYPERLINK("https://media.infra-m.ru/1913/1913678/cover/1913678.jpg", "Обложка")</f>
        <v>Обложка</v>
      </c>
      <c r="V105" s="28" t="str">
        <f>HYPERLINK("https://znanium.ru/catalog/product/1913678", "Ознакомиться")</f>
        <v>Ознакомиться</v>
      </c>
      <c r="W105" s="8" t="s">
        <v>571</v>
      </c>
      <c r="X105" s="6"/>
      <c r="Y105" s="6"/>
      <c r="Z105" s="6"/>
      <c r="AA105" s="6" t="s">
        <v>747</v>
      </c>
    </row>
    <row r="106" spans="1:27" s="4" customFormat="1" ht="42" customHeight="1">
      <c r="A106" s="5">
        <v>0</v>
      </c>
      <c r="B106" s="6" t="s">
        <v>753</v>
      </c>
      <c r="C106" s="7">
        <v>1364.9</v>
      </c>
      <c r="D106" s="8" t="s">
        <v>754</v>
      </c>
      <c r="E106" s="8" t="s">
        <v>574</v>
      </c>
      <c r="F106" s="8" t="s">
        <v>567</v>
      </c>
      <c r="G106" s="6" t="s">
        <v>123</v>
      </c>
      <c r="H106" s="6" t="s">
        <v>52</v>
      </c>
      <c r="I106" s="8" t="s">
        <v>164</v>
      </c>
      <c r="J106" s="9">
        <v>1</v>
      </c>
      <c r="K106" s="9">
        <v>304</v>
      </c>
      <c r="L106" s="9">
        <v>2023</v>
      </c>
      <c r="M106" s="8" t="s">
        <v>755</v>
      </c>
      <c r="N106" s="8" t="s">
        <v>74</v>
      </c>
      <c r="O106" s="8" t="s">
        <v>75</v>
      </c>
      <c r="P106" s="6" t="s">
        <v>55</v>
      </c>
      <c r="Q106" s="8" t="s">
        <v>56</v>
      </c>
      <c r="R106" s="10" t="s">
        <v>756</v>
      </c>
      <c r="S106" s="11"/>
      <c r="T106" s="6"/>
      <c r="U106" s="28" t="str">
        <f>HYPERLINK("https://media.infra-m.ru/1891/1891815/cover/1891815.jpg", "Обложка")</f>
        <v>Обложка</v>
      </c>
      <c r="V106" s="28" t="str">
        <f>HYPERLINK("https://znanium.ru/catalog/product/1891815", "Ознакомиться")</f>
        <v>Ознакомиться</v>
      </c>
      <c r="W106" s="8" t="s">
        <v>571</v>
      </c>
      <c r="X106" s="6"/>
      <c r="Y106" s="6"/>
      <c r="Z106" s="6"/>
      <c r="AA106" s="6" t="s">
        <v>381</v>
      </c>
    </row>
    <row r="107" spans="1:27" s="4" customFormat="1" ht="51.95" customHeight="1">
      <c r="A107" s="5">
        <v>0</v>
      </c>
      <c r="B107" s="6" t="s">
        <v>757</v>
      </c>
      <c r="C107" s="13">
        <v>920</v>
      </c>
      <c r="D107" s="8" t="s">
        <v>758</v>
      </c>
      <c r="E107" s="8" t="s">
        <v>759</v>
      </c>
      <c r="F107" s="8" t="s">
        <v>507</v>
      </c>
      <c r="G107" s="6" t="s">
        <v>83</v>
      </c>
      <c r="H107" s="6" t="s">
        <v>38</v>
      </c>
      <c r="I107" s="8" t="s">
        <v>205</v>
      </c>
      <c r="J107" s="9">
        <v>1</v>
      </c>
      <c r="K107" s="9">
        <v>200</v>
      </c>
      <c r="L107" s="9">
        <v>2024</v>
      </c>
      <c r="M107" s="8" t="s">
        <v>760</v>
      </c>
      <c r="N107" s="8" t="s">
        <v>74</v>
      </c>
      <c r="O107" s="8" t="s">
        <v>75</v>
      </c>
      <c r="P107" s="6" t="s">
        <v>55</v>
      </c>
      <c r="Q107" s="8" t="s">
        <v>207</v>
      </c>
      <c r="R107" s="10" t="s">
        <v>761</v>
      </c>
      <c r="S107" s="11" t="s">
        <v>762</v>
      </c>
      <c r="T107" s="6"/>
      <c r="U107" s="28" t="str">
        <f>HYPERLINK("https://media.infra-m.ru/2128/2128443/cover/2128443.jpg", "Обложка")</f>
        <v>Обложка</v>
      </c>
      <c r="V107" s="28" t="str">
        <f>HYPERLINK("https://znanium.ru/catalog/product/2128443", "Ознакомиться")</f>
        <v>Ознакомиться</v>
      </c>
      <c r="W107" s="8" t="s">
        <v>511</v>
      </c>
      <c r="X107" s="6"/>
      <c r="Y107" s="6" t="s">
        <v>30</v>
      </c>
      <c r="Z107" s="6"/>
      <c r="AA107" s="6" t="s">
        <v>650</v>
      </c>
    </row>
    <row r="108" spans="1:27" s="4" customFormat="1" ht="51.95" customHeight="1">
      <c r="A108" s="5">
        <v>0</v>
      </c>
      <c r="B108" s="6" t="s">
        <v>763</v>
      </c>
      <c r="C108" s="7">
        <v>1454</v>
      </c>
      <c r="D108" s="8" t="s">
        <v>764</v>
      </c>
      <c r="E108" s="8" t="s">
        <v>737</v>
      </c>
      <c r="F108" s="8" t="s">
        <v>586</v>
      </c>
      <c r="G108" s="6" t="s">
        <v>83</v>
      </c>
      <c r="H108" s="6" t="s">
        <v>38</v>
      </c>
      <c r="I108" s="8" t="s">
        <v>205</v>
      </c>
      <c r="J108" s="9">
        <v>1</v>
      </c>
      <c r="K108" s="9">
        <v>319</v>
      </c>
      <c r="L108" s="9">
        <v>2023</v>
      </c>
      <c r="M108" s="8" t="s">
        <v>765</v>
      </c>
      <c r="N108" s="8" t="s">
        <v>74</v>
      </c>
      <c r="O108" s="8" t="s">
        <v>75</v>
      </c>
      <c r="P108" s="6" t="s">
        <v>55</v>
      </c>
      <c r="Q108" s="8" t="s">
        <v>207</v>
      </c>
      <c r="R108" s="10" t="s">
        <v>766</v>
      </c>
      <c r="S108" s="11" t="s">
        <v>767</v>
      </c>
      <c r="T108" s="6"/>
      <c r="U108" s="28" t="str">
        <f>HYPERLINK("https://media.infra-m.ru/2018/2018279/cover/2018279.jpg", "Обложка")</f>
        <v>Обложка</v>
      </c>
      <c r="V108" s="28" t="str">
        <f>HYPERLINK("https://znanium.ru/catalog/product/1933138", "Ознакомиться")</f>
        <v>Ознакомиться</v>
      </c>
      <c r="W108" s="8" t="s">
        <v>273</v>
      </c>
      <c r="X108" s="6"/>
      <c r="Y108" s="6"/>
      <c r="Z108" s="6" t="s">
        <v>235</v>
      </c>
      <c r="AA108" s="6" t="s">
        <v>768</v>
      </c>
    </row>
    <row r="109" spans="1:27" s="4" customFormat="1" ht="51.95" customHeight="1">
      <c r="A109" s="5">
        <v>0</v>
      </c>
      <c r="B109" s="6" t="s">
        <v>769</v>
      </c>
      <c r="C109" s="7">
        <v>1130</v>
      </c>
      <c r="D109" s="8" t="s">
        <v>770</v>
      </c>
      <c r="E109" s="8" t="s">
        <v>771</v>
      </c>
      <c r="F109" s="8" t="s">
        <v>772</v>
      </c>
      <c r="G109" s="6" t="s">
        <v>83</v>
      </c>
      <c r="H109" s="6" t="s">
        <v>38</v>
      </c>
      <c r="I109" s="8" t="s">
        <v>155</v>
      </c>
      <c r="J109" s="9">
        <v>1</v>
      </c>
      <c r="K109" s="9">
        <v>246</v>
      </c>
      <c r="L109" s="9">
        <v>2024</v>
      </c>
      <c r="M109" s="8" t="s">
        <v>773</v>
      </c>
      <c r="N109" s="8" t="s">
        <v>74</v>
      </c>
      <c r="O109" s="8" t="s">
        <v>75</v>
      </c>
      <c r="P109" s="6" t="s">
        <v>55</v>
      </c>
      <c r="Q109" s="8" t="s">
        <v>177</v>
      </c>
      <c r="R109" s="10" t="s">
        <v>774</v>
      </c>
      <c r="S109" s="11" t="s">
        <v>775</v>
      </c>
      <c r="T109" s="6"/>
      <c r="U109" s="28" t="str">
        <f>HYPERLINK("https://media.infra-m.ru/2067/2067386/cover/2067386.jpg", "Обложка")</f>
        <v>Обложка</v>
      </c>
      <c r="V109" s="28" t="str">
        <f>HYPERLINK("https://znanium.ru/catalog/product/2067386", "Ознакомиться")</f>
        <v>Ознакомиться</v>
      </c>
      <c r="W109" s="8" t="s">
        <v>776</v>
      </c>
      <c r="X109" s="6"/>
      <c r="Y109" s="6"/>
      <c r="Z109" s="6"/>
      <c r="AA109" s="6" t="s">
        <v>78</v>
      </c>
    </row>
    <row r="110" spans="1:27" s="4" customFormat="1" ht="51.95" customHeight="1">
      <c r="A110" s="5">
        <v>0</v>
      </c>
      <c r="B110" s="6" t="s">
        <v>777</v>
      </c>
      <c r="C110" s="7">
        <v>1160</v>
      </c>
      <c r="D110" s="8" t="s">
        <v>778</v>
      </c>
      <c r="E110" s="8" t="s">
        <v>771</v>
      </c>
      <c r="F110" s="8" t="s">
        <v>772</v>
      </c>
      <c r="G110" s="6" t="s">
        <v>83</v>
      </c>
      <c r="H110" s="6" t="s">
        <v>38</v>
      </c>
      <c r="I110" s="8" t="s">
        <v>205</v>
      </c>
      <c r="J110" s="9">
        <v>1</v>
      </c>
      <c r="K110" s="9">
        <v>246</v>
      </c>
      <c r="L110" s="9">
        <v>2024</v>
      </c>
      <c r="M110" s="8" t="s">
        <v>779</v>
      </c>
      <c r="N110" s="8" t="s">
        <v>74</v>
      </c>
      <c r="O110" s="8" t="s">
        <v>75</v>
      </c>
      <c r="P110" s="6" t="s">
        <v>55</v>
      </c>
      <c r="Q110" s="8" t="s">
        <v>207</v>
      </c>
      <c r="R110" s="10" t="s">
        <v>780</v>
      </c>
      <c r="S110" s="11" t="s">
        <v>781</v>
      </c>
      <c r="T110" s="6"/>
      <c r="U110" s="28" t="str">
        <f>HYPERLINK("https://media.infra-m.ru/2083/2083159/cover/2083159.jpg", "Обложка")</f>
        <v>Обложка</v>
      </c>
      <c r="V110" s="28" t="str">
        <f>HYPERLINK("https://znanium.ru/catalog/product/2083159", "Ознакомиться")</f>
        <v>Ознакомиться</v>
      </c>
      <c r="W110" s="8" t="s">
        <v>776</v>
      </c>
      <c r="X110" s="6"/>
      <c r="Y110" s="6"/>
      <c r="Z110" s="6" t="s">
        <v>782</v>
      </c>
      <c r="AA110" s="6" t="s">
        <v>78</v>
      </c>
    </row>
    <row r="111" spans="1:27" s="4" customFormat="1" ht="51.95" customHeight="1">
      <c r="A111" s="5">
        <v>0</v>
      </c>
      <c r="B111" s="6" t="s">
        <v>783</v>
      </c>
      <c r="C111" s="7">
        <v>1460</v>
      </c>
      <c r="D111" s="8" t="s">
        <v>784</v>
      </c>
      <c r="E111" s="8" t="s">
        <v>785</v>
      </c>
      <c r="F111" s="8" t="s">
        <v>786</v>
      </c>
      <c r="G111" s="6" t="s">
        <v>83</v>
      </c>
      <c r="H111" s="6" t="s">
        <v>38</v>
      </c>
      <c r="I111" s="8" t="s">
        <v>787</v>
      </c>
      <c r="J111" s="9">
        <v>1</v>
      </c>
      <c r="K111" s="9">
        <v>249</v>
      </c>
      <c r="L111" s="9">
        <v>2023</v>
      </c>
      <c r="M111" s="8" t="s">
        <v>788</v>
      </c>
      <c r="N111" s="8" t="s">
        <v>74</v>
      </c>
      <c r="O111" s="8" t="s">
        <v>75</v>
      </c>
      <c r="P111" s="6" t="s">
        <v>378</v>
      </c>
      <c r="Q111" s="8" t="s">
        <v>44</v>
      </c>
      <c r="R111" s="10" t="s">
        <v>789</v>
      </c>
      <c r="S111" s="11"/>
      <c r="T111" s="6"/>
      <c r="U111" s="28" t="str">
        <f>HYPERLINK("https://media.infra-m.ru/1915/1915318/cover/1915318.jpg", "Обложка")</f>
        <v>Обложка</v>
      </c>
      <c r="V111" s="28" t="str">
        <f>HYPERLINK("https://znanium.ru/catalog/product/1915318", "Ознакомиться")</f>
        <v>Ознакомиться</v>
      </c>
      <c r="W111" s="8" t="s">
        <v>790</v>
      </c>
      <c r="X111" s="6"/>
      <c r="Y111" s="6"/>
      <c r="Z111" s="6"/>
      <c r="AA111" s="6" t="s">
        <v>59</v>
      </c>
    </row>
    <row r="112" spans="1:27" s="4" customFormat="1" ht="51.95" customHeight="1">
      <c r="A112" s="5">
        <v>0</v>
      </c>
      <c r="B112" s="6" t="s">
        <v>791</v>
      </c>
      <c r="C112" s="7">
        <v>1070</v>
      </c>
      <c r="D112" s="8" t="s">
        <v>792</v>
      </c>
      <c r="E112" s="8" t="s">
        <v>793</v>
      </c>
      <c r="F112" s="8" t="s">
        <v>794</v>
      </c>
      <c r="G112" s="6" t="s">
        <v>83</v>
      </c>
      <c r="H112" s="6" t="s">
        <v>38</v>
      </c>
      <c r="I112" s="8" t="s">
        <v>795</v>
      </c>
      <c r="J112" s="9">
        <v>1</v>
      </c>
      <c r="K112" s="9">
        <v>238</v>
      </c>
      <c r="L112" s="9">
        <v>2023</v>
      </c>
      <c r="M112" s="8" t="s">
        <v>796</v>
      </c>
      <c r="N112" s="8" t="s">
        <v>74</v>
      </c>
      <c r="O112" s="8" t="s">
        <v>75</v>
      </c>
      <c r="P112" s="6" t="s">
        <v>378</v>
      </c>
      <c r="Q112" s="8" t="s">
        <v>44</v>
      </c>
      <c r="R112" s="10" t="s">
        <v>797</v>
      </c>
      <c r="S112" s="11"/>
      <c r="T112" s="6"/>
      <c r="U112" s="28" t="str">
        <f>HYPERLINK("https://media.infra-m.ru/1859/1859803/cover/1859803.jpg", "Обложка")</f>
        <v>Обложка</v>
      </c>
      <c r="V112" s="28" t="str">
        <f>HYPERLINK("https://znanium.ru/catalog/product/1859803", "Ознакомиться")</f>
        <v>Ознакомиться</v>
      </c>
      <c r="W112" s="8" t="s">
        <v>798</v>
      </c>
      <c r="X112" s="6"/>
      <c r="Y112" s="6"/>
      <c r="Z112" s="6"/>
      <c r="AA112" s="6" t="s">
        <v>650</v>
      </c>
    </row>
    <row r="113" spans="1:27" s="4" customFormat="1" ht="44.1" customHeight="1">
      <c r="A113" s="5">
        <v>0</v>
      </c>
      <c r="B113" s="6" t="s">
        <v>799</v>
      </c>
      <c r="C113" s="7">
        <v>1690</v>
      </c>
      <c r="D113" s="8" t="s">
        <v>800</v>
      </c>
      <c r="E113" s="8" t="s">
        <v>801</v>
      </c>
      <c r="F113" s="8" t="s">
        <v>802</v>
      </c>
      <c r="G113" s="6" t="s">
        <v>83</v>
      </c>
      <c r="H113" s="6" t="s">
        <v>38</v>
      </c>
      <c r="I113" s="8" t="s">
        <v>39</v>
      </c>
      <c r="J113" s="9">
        <v>1</v>
      </c>
      <c r="K113" s="9">
        <v>367</v>
      </c>
      <c r="L113" s="9">
        <v>2024</v>
      </c>
      <c r="M113" s="8" t="s">
        <v>803</v>
      </c>
      <c r="N113" s="8" t="s">
        <v>41</v>
      </c>
      <c r="O113" s="8" t="s">
        <v>65</v>
      </c>
      <c r="P113" s="6" t="s">
        <v>43</v>
      </c>
      <c r="Q113" s="8" t="s">
        <v>44</v>
      </c>
      <c r="R113" s="10" t="s">
        <v>804</v>
      </c>
      <c r="S113" s="11"/>
      <c r="T113" s="6"/>
      <c r="U113" s="28" t="str">
        <f>HYPERLINK("https://media.infra-m.ru/2105/2105344/cover/2105344.jpg", "Обложка")</f>
        <v>Обложка</v>
      </c>
      <c r="V113" s="28" t="str">
        <f>HYPERLINK("https://znanium.ru/catalog/product/2105344", "Ознакомиться")</f>
        <v>Ознакомиться</v>
      </c>
      <c r="W113" s="8" t="s">
        <v>805</v>
      </c>
      <c r="X113" s="6"/>
      <c r="Y113" s="6"/>
      <c r="Z113" s="6"/>
      <c r="AA113" s="6" t="s">
        <v>111</v>
      </c>
    </row>
    <row r="114" spans="1:27" s="4" customFormat="1" ht="44.1" customHeight="1">
      <c r="A114" s="5">
        <v>0</v>
      </c>
      <c r="B114" s="6" t="s">
        <v>806</v>
      </c>
      <c r="C114" s="7">
        <v>1072</v>
      </c>
      <c r="D114" s="8" t="s">
        <v>807</v>
      </c>
      <c r="E114" s="8" t="s">
        <v>808</v>
      </c>
      <c r="F114" s="8" t="s">
        <v>809</v>
      </c>
      <c r="G114" s="6" t="s">
        <v>37</v>
      </c>
      <c r="H114" s="6" t="s">
        <v>317</v>
      </c>
      <c r="I114" s="8" t="s">
        <v>39</v>
      </c>
      <c r="J114" s="9">
        <v>1</v>
      </c>
      <c r="K114" s="9">
        <v>176</v>
      </c>
      <c r="L114" s="9">
        <v>2024</v>
      </c>
      <c r="M114" s="8" t="s">
        <v>810</v>
      </c>
      <c r="N114" s="8" t="s">
        <v>41</v>
      </c>
      <c r="O114" s="8" t="s">
        <v>42</v>
      </c>
      <c r="P114" s="6" t="s">
        <v>811</v>
      </c>
      <c r="Q114" s="8" t="s">
        <v>44</v>
      </c>
      <c r="R114" s="10" t="s">
        <v>812</v>
      </c>
      <c r="S114" s="11"/>
      <c r="T114" s="6"/>
      <c r="U114" s="28" t="str">
        <f>HYPERLINK("https://media.infra-m.ru/2107/2107295/cover/2107295.jpg", "Обложка")</f>
        <v>Обложка</v>
      </c>
      <c r="V114" s="28" t="str">
        <f>HYPERLINK("https://znanium.ru/catalog/product/2107295", "Ознакомиться")</f>
        <v>Ознакомиться</v>
      </c>
      <c r="W114" s="8"/>
      <c r="X114" s="6"/>
      <c r="Y114" s="6"/>
      <c r="Z114" s="6"/>
      <c r="AA114" s="6" t="s">
        <v>290</v>
      </c>
    </row>
    <row r="115" spans="1:27" s="4" customFormat="1" ht="44.1" customHeight="1">
      <c r="A115" s="5">
        <v>0</v>
      </c>
      <c r="B115" s="6" t="s">
        <v>813</v>
      </c>
      <c r="C115" s="7">
        <v>1564</v>
      </c>
      <c r="D115" s="8" t="s">
        <v>814</v>
      </c>
      <c r="E115" s="8" t="s">
        <v>815</v>
      </c>
      <c r="F115" s="8" t="s">
        <v>816</v>
      </c>
      <c r="G115" s="6" t="s">
        <v>83</v>
      </c>
      <c r="H115" s="6" t="s">
        <v>38</v>
      </c>
      <c r="I115" s="8" t="s">
        <v>39</v>
      </c>
      <c r="J115" s="9">
        <v>1</v>
      </c>
      <c r="K115" s="9">
        <v>340</v>
      </c>
      <c r="L115" s="9">
        <v>2024</v>
      </c>
      <c r="M115" s="8" t="s">
        <v>817</v>
      </c>
      <c r="N115" s="8" t="s">
        <v>41</v>
      </c>
      <c r="O115" s="8" t="s">
        <v>65</v>
      </c>
      <c r="P115" s="6" t="s">
        <v>43</v>
      </c>
      <c r="Q115" s="8" t="s">
        <v>44</v>
      </c>
      <c r="R115" s="10" t="s">
        <v>818</v>
      </c>
      <c r="S115" s="11"/>
      <c r="T115" s="6"/>
      <c r="U115" s="28" t="str">
        <f>HYPERLINK("https://media.infra-m.ru/1898/1898011/cover/1898011.jpg", "Обложка")</f>
        <v>Обложка</v>
      </c>
      <c r="V115" s="28" t="str">
        <f>HYPERLINK("https://znanium.ru/catalog/product/1861890", "Ознакомиться")</f>
        <v>Ознакомиться</v>
      </c>
      <c r="W115" s="8" t="s">
        <v>805</v>
      </c>
      <c r="X115" s="6"/>
      <c r="Y115" s="6"/>
      <c r="Z115" s="6"/>
      <c r="AA115" s="6" t="s">
        <v>141</v>
      </c>
    </row>
    <row r="116" spans="1:27" s="4" customFormat="1" ht="51.95" customHeight="1">
      <c r="A116" s="5">
        <v>0</v>
      </c>
      <c r="B116" s="6" t="s">
        <v>819</v>
      </c>
      <c r="C116" s="7">
        <v>1130</v>
      </c>
      <c r="D116" s="8" t="s">
        <v>820</v>
      </c>
      <c r="E116" s="8" t="s">
        <v>821</v>
      </c>
      <c r="F116" s="8" t="s">
        <v>822</v>
      </c>
      <c r="G116" s="6" t="s">
        <v>83</v>
      </c>
      <c r="H116" s="6" t="s">
        <v>38</v>
      </c>
      <c r="I116" s="8" t="s">
        <v>155</v>
      </c>
      <c r="J116" s="9">
        <v>1</v>
      </c>
      <c r="K116" s="9">
        <v>240</v>
      </c>
      <c r="L116" s="9">
        <v>2024</v>
      </c>
      <c r="M116" s="8" t="s">
        <v>823</v>
      </c>
      <c r="N116" s="8" t="s">
        <v>41</v>
      </c>
      <c r="O116" s="8" t="s">
        <v>65</v>
      </c>
      <c r="P116" s="6" t="s">
        <v>55</v>
      </c>
      <c r="Q116" s="8" t="s">
        <v>56</v>
      </c>
      <c r="R116" s="10" t="s">
        <v>824</v>
      </c>
      <c r="S116" s="11" t="s">
        <v>825</v>
      </c>
      <c r="T116" s="6"/>
      <c r="U116" s="28" t="str">
        <f>HYPERLINK("https://media.infra-m.ru/2137/2137075/cover/2137075.jpg", "Обложка")</f>
        <v>Обложка</v>
      </c>
      <c r="V116" s="28" t="str">
        <f>HYPERLINK("https://znanium.ru/catalog/product/2137075", "Ознакомиться")</f>
        <v>Ознакомиться</v>
      </c>
      <c r="W116" s="8"/>
      <c r="X116" s="6"/>
      <c r="Y116" s="6"/>
      <c r="Z116" s="6"/>
      <c r="AA116" s="6" t="s">
        <v>826</v>
      </c>
    </row>
    <row r="117" spans="1:27" s="4" customFormat="1" ht="51.95" customHeight="1">
      <c r="A117" s="5">
        <v>0</v>
      </c>
      <c r="B117" s="6" t="s">
        <v>827</v>
      </c>
      <c r="C117" s="7">
        <v>2460</v>
      </c>
      <c r="D117" s="8" t="s">
        <v>828</v>
      </c>
      <c r="E117" s="8" t="s">
        <v>829</v>
      </c>
      <c r="F117" s="8" t="s">
        <v>830</v>
      </c>
      <c r="G117" s="6" t="s">
        <v>123</v>
      </c>
      <c r="H117" s="6" t="s">
        <v>38</v>
      </c>
      <c r="I117" s="8" t="s">
        <v>39</v>
      </c>
      <c r="J117" s="9">
        <v>1</v>
      </c>
      <c r="K117" s="9">
        <v>597</v>
      </c>
      <c r="L117" s="9">
        <v>2024</v>
      </c>
      <c r="M117" s="8" t="s">
        <v>831</v>
      </c>
      <c r="N117" s="8" t="s">
        <v>74</v>
      </c>
      <c r="O117" s="8" t="s">
        <v>109</v>
      </c>
      <c r="P117" s="6" t="s">
        <v>43</v>
      </c>
      <c r="Q117" s="8" t="s">
        <v>44</v>
      </c>
      <c r="R117" s="10" t="s">
        <v>832</v>
      </c>
      <c r="S117" s="11"/>
      <c r="T117" s="6"/>
      <c r="U117" s="28" t="str">
        <f>HYPERLINK("https://media.infra-m.ru/2142/2142552/cover/2142552.jpg", "Обложка")</f>
        <v>Обложка</v>
      </c>
      <c r="V117" s="28" t="str">
        <f>HYPERLINK("https://znanium.ru/catalog/product/2142552", "Ознакомиться")</f>
        <v>Ознакомиться</v>
      </c>
      <c r="W117" s="8" t="s">
        <v>833</v>
      </c>
      <c r="X117" s="6"/>
      <c r="Y117" s="6"/>
      <c r="Z117" s="6"/>
      <c r="AA117" s="6" t="s">
        <v>96</v>
      </c>
    </row>
    <row r="118" spans="1:27" s="4" customFormat="1" ht="42" customHeight="1">
      <c r="A118" s="5">
        <v>0</v>
      </c>
      <c r="B118" s="6" t="s">
        <v>834</v>
      </c>
      <c r="C118" s="13">
        <v>970</v>
      </c>
      <c r="D118" s="8" t="s">
        <v>835</v>
      </c>
      <c r="E118" s="8" t="s">
        <v>836</v>
      </c>
      <c r="F118" s="8" t="s">
        <v>837</v>
      </c>
      <c r="G118" s="6" t="s">
        <v>123</v>
      </c>
      <c r="H118" s="6" t="s">
        <v>38</v>
      </c>
      <c r="I118" s="8" t="s">
        <v>155</v>
      </c>
      <c r="J118" s="9">
        <v>1</v>
      </c>
      <c r="K118" s="9">
        <v>206</v>
      </c>
      <c r="L118" s="9">
        <v>2023</v>
      </c>
      <c r="M118" s="8" t="s">
        <v>838</v>
      </c>
      <c r="N118" s="8" t="s">
        <v>41</v>
      </c>
      <c r="O118" s="8" t="s">
        <v>54</v>
      </c>
      <c r="P118" s="6" t="s">
        <v>55</v>
      </c>
      <c r="Q118" s="8" t="s">
        <v>56</v>
      </c>
      <c r="R118" s="10" t="s">
        <v>839</v>
      </c>
      <c r="S118" s="11"/>
      <c r="T118" s="6"/>
      <c r="U118" s="28" t="str">
        <f>HYPERLINK("https://media.infra-m.ru/1023/1023988/cover/1023988.jpg", "Обложка")</f>
        <v>Обложка</v>
      </c>
      <c r="V118" s="28" t="str">
        <f>HYPERLINK("https://znanium.ru/catalog/product/1023988", "Ознакомиться")</f>
        <v>Ознакомиться</v>
      </c>
      <c r="W118" s="8" t="s">
        <v>840</v>
      </c>
      <c r="X118" s="6"/>
      <c r="Y118" s="6"/>
      <c r="Z118" s="6"/>
      <c r="AA118" s="6" t="s">
        <v>111</v>
      </c>
    </row>
    <row r="119" spans="1:27" s="4" customFormat="1" ht="42" customHeight="1">
      <c r="A119" s="5">
        <v>0</v>
      </c>
      <c r="B119" s="6" t="s">
        <v>841</v>
      </c>
      <c r="C119" s="13">
        <v>920</v>
      </c>
      <c r="D119" s="8" t="s">
        <v>842</v>
      </c>
      <c r="E119" s="8" t="s">
        <v>843</v>
      </c>
      <c r="F119" s="8" t="s">
        <v>844</v>
      </c>
      <c r="G119" s="6" t="s">
        <v>123</v>
      </c>
      <c r="H119" s="6" t="s">
        <v>38</v>
      </c>
      <c r="I119" s="8" t="s">
        <v>155</v>
      </c>
      <c r="J119" s="9">
        <v>1</v>
      </c>
      <c r="K119" s="9">
        <v>186</v>
      </c>
      <c r="L119" s="9">
        <v>2023</v>
      </c>
      <c r="M119" s="8" t="s">
        <v>845</v>
      </c>
      <c r="N119" s="8" t="s">
        <v>41</v>
      </c>
      <c r="O119" s="8" t="s">
        <v>54</v>
      </c>
      <c r="P119" s="6" t="s">
        <v>55</v>
      </c>
      <c r="Q119" s="8" t="s">
        <v>56</v>
      </c>
      <c r="R119" s="10" t="s">
        <v>846</v>
      </c>
      <c r="S119" s="11"/>
      <c r="T119" s="6"/>
      <c r="U119" s="28" t="str">
        <f>HYPERLINK("https://media.infra-m.ru/1894/1894391/cover/1894391.jpg", "Обложка")</f>
        <v>Обложка</v>
      </c>
      <c r="V119" s="28" t="str">
        <f>HYPERLINK("https://znanium.ru/catalog/product/1894391", "Ознакомиться")</f>
        <v>Ознакомиться</v>
      </c>
      <c r="W119" s="8" t="s">
        <v>210</v>
      </c>
      <c r="X119" s="6" t="s">
        <v>641</v>
      </c>
      <c r="Y119" s="6"/>
      <c r="Z119" s="6"/>
      <c r="AA119" s="6" t="s">
        <v>111</v>
      </c>
    </row>
    <row r="120" spans="1:27" s="4" customFormat="1" ht="51.95" customHeight="1">
      <c r="A120" s="5">
        <v>0</v>
      </c>
      <c r="B120" s="6" t="s">
        <v>847</v>
      </c>
      <c r="C120" s="7">
        <v>3020</v>
      </c>
      <c r="D120" s="8" t="s">
        <v>848</v>
      </c>
      <c r="E120" s="8" t="s">
        <v>849</v>
      </c>
      <c r="F120" s="8" t="s">
        <v>850</v>
      </c>
      <c r="G120" s="6" t="s">
        <v>83</v>
      </c>
      <c r="H120" s="6" t="s">
        <v>38</v>
      </c>
      <c r="I120" s="8"/>
      <c r="J120" s="9">
        <v>1</v>
      </c>
      <c r="K120" s="9">
        <v>333</v>
      </c>
      <c r="L120" s="9">
        <v>2023</v>
      </c>
      <c r="M120" s="8" t="s">
        <v>851</v>
      </c>
      <c r="N120" s="8" t="s">
        <v>74</v>
      </c>
      <c r="O120" s="8" t="s">
        <v>394</v>
      </c>
      <c r="P120" s="6" t="s">
        <v>55</v>
      </c>
      <c r="Q120" s="8" t="s">
        <v>56</v>
      </c>
      <c r="R120" s="10" t="s">
        <v>852</v>
      </c>
      <c r="S120" s="11" t="s">
        <v>853</v>
      </c>
      <c r="T120" s="6"/>
      <c r="U120" s="28" t="str">
        <f>HYPERLINK("https://media.infra-m.ru/1923/1923149/cover/1923149.jpg", "Обложка")</f>
        <v>Обложка</v>
      </c>
      <c r="V120" s="28" t="str">
        <f>HYPERLINK("https://znanium.ru/catalog/product/1923149", "Ознакомиться")</f>
        <v>Ознакомиться</v>
      </c>
      <c r="W120" s="8" t="s">
        <v>474</v>
      </c>
      <c r="X120" s="6"/>
      <c r="Y120" s="6"/>
      <c r="Z120" s="6"/>
      <c r="AA120" s="6" t="s">
        <v>381</v>
      </c>
    </row>
    <row r="121" spans="1:27" s="4" customFormat="1" ht="51.95" customHeight="1">
      <c r="A121" s="5">
        <v>0</v>
      </c>
      <c r="B121" s="6" t="s">
        <v>854</v>
      </c>
      <c r="C121" s="7">
        <v>1530</v>
      </c>
      <c r="D121" s="8" t="s">
        <v>855</v>
      </c>
      <c r="E121" s="8" t="s">
        <v>856</v>
      </c>
      <c r="F121" s="8" t="s">
        <v>857</v>
      </c>
      <c r="G121" s="6" t="s">
        <v>83</v>
      </c>
      <c r="H121" s="6" t="s">
        <v>38</v>
      </c>
      <c r="I121" s="8" t="s">
        <v>205</v>
      </c>
      <c r="J121" s="9">
        <v>1</v>
      </c>
      <c r="K121" s="9">
        <v>319</v>
      </c>
      <c r="L121" s="9">
        <v>2024</v>
      </c>
      <c r="M121" s="8" t="s">
        <v>858</v>
      </c>
      <c r="N121" s="8" t="s">
        <v>74</v>
      </c>
      <c r="O121" s="8" t="s">
        <v>394</v>
      </c>
      <c r="P121" s="6" t="s">
        <v>176</v>
      </c>
      <c r="Q121" s="8" t="s">
        <v>207</v>
      </c>
      <c r="R121" s="10" t="s">
        <v>859</v>
      </c>
      <c r="S121" s="11" t="s">
        <v>860</v>
      </c>
      <c r="T121" s="6"/>
      <c r="U121" s="28" t="str">
        <f>HYPERLINK("https://media.infra-m.ru/2084/2084111/cover/2084111.jpg", "Обложка")</f>
        <v>Обложка</v>
      </c>
      <c r="V121" s="28" t="str">
        <f>HYPERLINK("https://znanium.ru/catalog/product/2084111", "Ознакомиться")</f>
        <v>Ознакомиться</v>
      </c>
      <c r="W121" s="8" t="s">
        <v>273</v>
      </c>
      <c r="X121" s="6"/>
      <c r="Y121" s="6" t="s">
        <v>30</v>
      </c>
      <c r="Z121" s="6"/>
      <c r="AA121" s="6" t="s">
        <v>861</v>
      </c>
    </row>
    <row r="122" spans="1:27" s="4" customFormat="1" ht="42" customHeight="1">
      <c r="A122" s="5">
        <v>0</v>
      </c>
      <c r="B122" s="6" t="s">
        <v>862</v>
      </c>
      <c r="C122" s="7">
        <v>1900</v>
      </c>
      <c r="D122" s="8" t="s">
        <v>863</v>
      </c>
      <c r="E122" s="8" t="s">
        <v>864</v>
      </c>
      <c r="F122" s="8" t="s">
        <v>865</v>
      </c>
      <c r="G122" s="6" t="s">
        <v>123</v>
      </c>
      <c r="H122" s="6" t="s">
        <v>38</v>
      </c>
      <c r="I122" s="8" t="s">
        <v>39</v>
      </c>
      <c r="J122" s="9">
        <v>1</v>
      </c>
      <c r="K122" s="9">
        <v>412</v>
      </c>
      <c r="L122" s="9">
        <v>2024</v>
      </c>
      <c r="M122" s="8" t="s">
        <v>866</v>
      </c>
      <c r="N122" s="8" t="s">
        <v>74</v>
      </c>
      <c r="O122" s="8" t="s">
        <v>394</v>
      </c>
      <c r="P122" s="6" t="s">
        <v>43</v>
      </c>
      <c r="Q122" s="8" t="s">
        <v>44</v>
      </c>
      <c r="R122" s="10" t="s">
        <v>867</v>
      </c>
      <c r="S122" s="11"/>
      <c r="T122" s="6"/>
      <c r="U122" s="28" t="str">
        <f>HYPERLINK("https://media.infra-m.ru/2072/2072429/cover/2072429.jpg", "Обложка")</f>
        <v>Обложка</v>
      </c>
      <c r="V122" s="28" t="str">
        <f>HYPERLINK("https://znanium.ru/catalog/product/2072429", "Ознакомиться")</f>
        <v>Ознакомиться</v>
      </c>
      <c r="W122" s="8" t="s">
        <v>868</v>
      </c>
      <c r="X122" s="6"/>
      <c r="Y122" s="6"/>
      <c r="Z122" s="6"/>
      <c r="AA122" s="6" t="s">
        <v>78</v>
      </c>
    </row>
    <row r="123" spans="1:27" s="4" customFormat="1" ht="42" customHeight="1">
      <c r="A123" s="5">
        <v>0</v>
      </c>
      <c r="B123" s="6" t="s">
        <v>869</v>
      </c>
      <c r="C123" s="13">
        <v>710</v>
      </c>
      <c r="D123" s="8" t="s">
        <v>870</v>
      </c>
      <c r="E123" s="8" t="s">
        <v>871</v>
      </c>
      <c r="F123" s="8" t="s">
        <v>872</v>
      </c>
      <c r="G123" s="6" t="s">
        <v>37</v>
      </c>
      <c r="H123" s="6" t="s">
        <v>38</v>
      </c>
      <c r="I123" s="8" t="s">
        <v>39</v>
      </c>
      <c r="J123" s="9">
        <v>1</v>
      </c>
      <c r="K123" s="9">
        <v>186</v>
      </c>
      <c r="L123" s="9">
        <v>2022</v>
      </c>
      <c r="M123" s="8" t="s">
        <v>873</v>
      </c>
      <c r="N123" s="8" t="s">
        <v>41</v>
      </c>
      <c r="O123" s="8" t="s">
        <v>54</v>
      </c>
      <c r="P123" s="6" t="s">
        <v>43</v>
      </c>
      <c r="Q123" s="8" t="s">
        <v>44</v>
      </c>
      <c r="R123" s="10" t="s">
        <v>874</v>
      </c>
      <c r="S123" s="11"/>
      <c r="T123" s="6"/>
      <c r="U123" s="28" t="str">
        <f>HYPERLINK("https://media.infra-m.ru/1704/1704756/cover/1704756.jpg", "Обложка")</f>
        <v>Обложка</v>
      </c>
      <c r="V123" s="28" t="str">
        <f>HYPERLINK("https://znanium.ru/catalog/product/1704756", "Ознакомиться")</f>
        <v>Ознакомиться</v>
      </c>
      <c r="W123" s="8"/>
      <c r="X123" s="6"/>
      <c r="Y123" s="6"/>
      <c r="Z123" s="6"/>
      <c r="AA123" s="6" t="s">
        <v>193</v>
      </c>
    </row>
    <row r="124" spans="1:27" s="4" customFormat="1" ht="51.95" customHeight="1">
      <c r="A124" s="5">
        <v>0</v>
      </c>
      <c r="B124" s="6" t="s">
        <v>875</v>
      </c>
      <c r="C124" s="7">
        <v>1759</v>
      </c>
      <c r="D124" s="8" t="s">
        <v>876</v>
      </c>
      <c r="E124" s="8" t="s">
        <v>877</v>
      </c>
      <c r="F124" s="8" t="s">
        <v>865</v>
      </c>
      <c r="G124" s="6" t="s">
        <v>83</v>
      </c>
      <c r="H124" s="6" t="s">
        <v>38</v>
      </c>
      <c r="I124" s="8" t="s">
        <v>155</v>
      </c>
      <c r="J124" s="9">
        <v>1</v>
      </c>
      <c r="K124" s="9">
        <v>373</v>
      </c>
      <c r="L124" s="9">
        <v>2023</v>
      </c>
      <c r="M124" s="8" t="s">
        <v>878</v>
      </c>
      <c r="N124" s="8" t="s">
        <v>74</v>
      </c>
      <c r="O124" s="8" t="s">
        <v>394</v>
      </c>
      <c r="P124" s="6" t="s">
        <v>176</v>
      </c>
      <c r="Q124" s="8" t="s">
        <v>594</v>
      </c>
      <c r="R124" s="10" t="s">
        <v>867</v>
      </c>
      <c r="S124" s="11" t="s">
        <v>879</v>
      </c>
      <c r="T124" s="6"/>
      <c r="U124" s="28" t="str">
        <f>HYPERLINK("https://media.infra-m.ru/2125/2125642/cover/2125642.jpg", "Обложка")</f>
        <v>Обложка</v>
      </c>
      <c r="V124" s="28" t="str">
        <f>HYPERLINK("https://znanium.ru/catalog/product/2110027", "Ознакомиться")</f>
        <v>Ознакомиться</v>
      </c>
      <c r="W124" s="8" t="s">
        <v>868</v>
      </c>
      <c r="X124" s="6"/>
      <c r="Y124" s="6"/>
      <c r="Z124" s="6"/>
      <c r="AA124" s="6" t="s">
        <v>880</v>
      </c>
    </row>
    <row r="125" spans="1:27" s="4" customFormat="1" ht="51.95" customHeight="1">
      <c r="A125" s="5">
        <v>0</v>
      </c>
      <c r="B125" s="6" t="s">
        <v>881</v>
      </c>
      <c r="C125" s="7">
        <v>1654.9</v>
      </c>
      <c r="D125" s="8" t="s">
        <v>882</v>
      </c>
      <c r="E125" s="8" t="s">
        <v>883</v>
      </c>
      <c r="F125" s="8" t="s">
        <v>865</v>
      </c>
      <c r="G125" s="6" t="s">
        <v>83</v>
      </c>
      <c r="H125" s="6" t="s">
        <v>38</v>
      </c>
      <c r="I125" s="8" t="s">
        <v>884</v>
      </c>
      <c r="J125" s="9">
        <v>1</v>
      </c>
      <c r="K125" s="9">
        <v>368</v>
      </c>
      <c r="L125" s="9">
        <v>2023</v>
      </c>
      <c r="M125" s="8" t="s">
        <v>885</v>
      </c>
      <c r="N125" s="8" t="s">
        <v>74</v>
      </c>
      <c r="O125" s="8" t="s">
        <v>394</v>
      </c>
      <c r="P125" s="6" t="s">
        <v>176</v>
      </c>
      <c r="Q125" s="8" t="s">
        <v>594</v>
      </c>
      <c r="R125" s="10" t="s">
        <v>867</v>
      </c>
      <c r="S125" s="11" t="s">
        <v>886</v>
      </c>
      <c r="T125" s="6"/>
      <c r="U125" s="28" t="str">
        <f>HYPERLINK("https://media.infra-m.ru/1911/1911808/cover/1911808.jpg", "Обложка")</f>
        <v>Обложка</v>
      </c>
      <c r="V125" s="28" t="str">
        <f>HYPERLINK("https://znanium.ru/catalog/product/2110027", "Ознакомиться")</f>
        <v>Ознакомиться</v>
      </c>
      <c r="W125" s="8" t="s">
        <v>868</v>
      </c>
      <c r="X125" s="6"/>
      <c r="Y125" s="6"/>
      <c r="Z125" s="6"/>
      <c r="AA125" s="6" t="s">
        <v>364</v>
      </c>
    </row>
    <row r="126" spans="1:27" s="4" customFormat="1" ht="42" customHeight="1">
      <c r="A126" s="5">
        <v>0</v>
      </c>
      <c r="B126" s="6" t="s">
        <v>887</v>
      </c>
      <c r="C126" s="7">
        <v>1077</v>
      </c>
      <c r="D126" s="8" t="s">
        <v>888</v>
      </c>
      <c r="E126" s="8" t="s">
        <v>889</v>
      </c>
      <c r="F126" s="8" t="s">
        <v>890</v>
      </c>
      <c r="G126" s="6" t="s">
        <v>37</v>
      </c>
      <c r="H126" s="6" t="s">
        <v>52</v>
      </c>
      <c r="I126" s="8" t="s">
        <v>164</v>
      </c>
      <c r="J126" s="9">
        <v>1</v>
      </c>
      <c r="K126" s="9">
        <v>176</v>
      </c>
      <c r="L126" s="9">
        <v>2024</v>
      </c>
      <c r="M126" s="8" t="s">
        <v>891</v>
      </c>
      <c r="N126" s="8" t="s">
        <v>74</v>
      </c>
      <c r="O126" s="8" t="s">
        <v>394</v>
      </c>
      <c r="P126" s="6" t="s">
        <v>55</v>
      </c>
      <c r="Q126" s="8" t="s">
        <v>56</v>
      </c>
      <c r="R126" s="10" t="s">
        <v>892</v>
      </c>
      <c r="S126" s="11"/>
      <c r="T126" s="6"/>
      <c r="U126" s="28" t="str">
        <f>HYPERLINK("https://media.infra-m.ru/2125/2125107/cover/2125107.jpg", "Обложка")</f>
        <v>Обложка</v>
      </c>
      <c r="V126" s="28" t="str">
        <f>HYPERLINK("https://znanium.ru/catalog/product/1818172", "Ознакомиться")</f>
        <v>Ознакомиться</v>
      </c>
      <c r="W126" s="8" t="s">
        <v>893</v>
      </c>
      <c r="X126" s="6"/>
      <c r="Y126" s="6"/>
      <c r="Z126" s="6"/>
      <c r="AA126" s="6" t="s">
        <v>381</v>
      </c>
    </row>
    <row r="127" spans="1:27" s="4" customFormat="1" ht="42" customHeight="1">
      <c r="A127" s="5">
        <v>0</v>
      </c>
      <c r="B127" s="6" t="s">
        <v>894</v>
      </c>
      <c r="C127" s="7">
        <v>1164</v>
      </c>
      <c r="D127" s="8" t="s">
        <v>895</v>
      </c>
      <c r="E127" s="8" t="s">
        <v>896</v>
      </c>
      <c r="F127" s="8" t="s">
        <v>897</v>
      </c>
      <c r="G127" s="6" t="s">
        <v>37</v>
      </c>
      <c r="H127" s="6" t="s">
        <v>38</v>
      </c>
      <c r="I127" s="8" t="s">
        <v>39</v>
      </c>
      <c r="J127" s="9">
        <v>1</v>
      </c>
      <c r="K127" s="9">
        <v>257</v>
      </c>
      <c r="L127" s="9">
        <v>2023</v>
      </c>
      <c r="M127" s="8" t="s">
        <v>898</v>
      </c>
      <c r="N127" s="8" t="s">
        <v>74</v>
      </c>
      <c r="O127" s="8" t="s">
        <v>394</v>
      </c>
      <c r="P127" s="6" t="s">
        <v>43</v>
      </c>
      <c r="Q127" s="8" t="s">
        <v>44</v>
      </c>
      <c r="R127" s="10" t="s">
        <v>899</v>
      </c>
      <c r="S127" s="11"/>
      <c r="T127" s="6"/>
      <c r="U127" s="28" t="str">
        <f>HYPERLINK("https://media.infra-m.ru/2006/2006065/cover/2006065.jpg", "Обложка")</f>
        <v>Обложка</v>
      </c>
      <c r="V127" s="28" t="str">
        <f>HYPERLINK("https://znanium.ru/catalog/product/1039637", "Ознакомиться")</f>
        <v>Ознакомиться</v>
      </c>
      <c r="W127" s="8" t="s">
        <v>900</v>
      </c>
      <c r="X127" s="6"/>
      <c r="Y127" s="6"/>
      <c r="Z127" s="6"/>
      <c r="AA127" s="6" t="s">
        <v>150</v>
      </c>
    </row>
    <row r="128" spans="1:27" s="4" customFormat="1" ht="42" customHeight="1">
      <c r="A128" s="5">
        <v>0</v>
      </c>
      <c r="B128" s="6" t="s">
        <v>901</v>
      </c>
      <c r="C128" s="13">
        <v>310</v>
      </c>
      <c r="D128" s="8" t="s">
        <v>902</v>
      </c>
      <c r="E128" s="8" t="s">
        <v>903</v>
      </c>
      <c r="F128" s="8" t="s">
        <v>897</v>
      </c>
      <c r="G128" s="6" t="s">
        <v>37</v>
      </c>
      <c r="H128" s="6" t="s">
        <v>38</v>
      </c>
      <c r="I128" s="8" t="s">
        <v>39</v>
      </c>
      <c r="J128" s="9">
        <v>1</v>
      </c>
      <c r="K128" s="9">
        <v>99</v>
      </c>
      <c r="L128" s="9">
        <v>2018</v>
      </c>
      <c r="M128" s="8" t="s">
        <v>904</v>
      </c>
      <c r="N128" s="8" t="s">
        <v>74</v>
      </c>
      <c r="O128" s="8" t="s">
        <v>394</v>
      </c>
      <c r="P128" s="6" t="s">
        <v>43</v>
      </c>
      <c r="Q128" s="8" t="s">
        <v>44</v>
      </c>
      <c r="R128" s="10" t="s">
        <v>899</v>
      </c>
      <c r="S128" s="11"/>
      <c r="T128" s="6"/>
      <c r="U128" s="28" t="str">
        <f>HYPERLINK("https://media.infra-m.ru/0962/0962580/cover/962580.jpg", "Обложка")</f>
        <v>Обложка</v>
      </c>
      <c r="V128" s="28" t="str">
        <f>HYPERLINK("https://znanium.ru/catalog/product/1039637", "Ознакомиться")</f>
        <v>Ознакомиться</v>
      </c>
      <c r="W128" s="8" t="s">
        <v>900</v>
      </c>
      <c r="X128" s="6"/>
      <c r="Y128" s="6"/>
      <c r="Z128" s="6"/>
      <c r="AA128" s="6" t="s">
        <v>68</v>
      </c>
    </row>
    <row r="129" spans="1:27" s="4" customFormat="1" ht="51.95" customHeight="1">
      <c r="A129" s="5">
        <v>0</v>
      </c>
      <c r="B129" s="6" t="s">
        <v>905</v>
      </c>
      <c r="C129" s="7">
        <v>1260</v>
      </c>
      <c r="D129" s="8" t="s">
        <v>906</v>
      </c>
      <c r="E129" s="8" t="s">
        <v>907</v>
      </c>
      <c r="F129" s="8" t="s">
        <v>908</v>
      </c>
      <c r="G129" s="6" t="s">
        <v>83</v>
      </c>
      <c r="H129" s="6" t="s">
        <v>38</v>
      </c>
      <c r="I129" s="8" t="s">
        <v>164</v>
      </c>
      <c r="J129" s="9">
        <v>1</v>
      </c>
      <c r="K129" s="9">
        <v>280</v>
      </c>
      <c r="L129" s="9">
        <v>2023</v>
      </c>
      <c r="M129" s="8" t="s">
        <v>909</v>
      </c>
      <c r="N129" s="8" t="s">
        <v>74</v>
      </c>
      <c r="O129" s="8" t="s">
        <v>394</v>
      </c>
      <c r="P129" s="6" t="s">
        <v>55</v>
      </c>
      <c r="Q129" s="8" t="s">
        <v>56</v>
      </c>
      <c r="R129" s="10" t="s">
        <v>910</v>
      </c>
      <c r="S129" s="11" t="s">
        <v>911</v>
      </c>
      <c r="T129" s="6"/>
      <c r="U129" s="28" t="str">
        <f>HYPERLINK("https://media.infra-m.ru/1894/1894763/cover/1894763.jpg", "Обложка")</f>
        <v>Обложка</v>
      </c>
      <c r="V129" s="28" t="str">
        <f>HYPERLINK("https://znanium.ru/catalog/product/1921385", "Ознакомиться")</f>
        <v>Ознакомиться</v>
      </c>
      <c r="W129" s="8" t="s">
        <v>912</v>
      </c>
      <c r="X129" s="6"/>
      <c r="Y129" s="6"/>
      <c r="Z129" s="6"/>
      <c r="AA129" s="6" t="s">
        <v>364</v>
      </c>
    </row>
    <row r="130" spans="1:27" s="4" customFormat="1" ht="51.95" customHeight="1">
      <c r="A130" s="5">
        <v>0</v>
      </c>
      <c r="B130" s="6" t="s">
        <v>913</v>
      </c>
      <c r="C130" s="7">
        <v>1260</v>
      </c>
      <c r="D130" s="8" t="s">
        <v>914</v>
      </c>
      <c r="E130" s="8" t="s">
        <v>915</v>
      </c>
      <c r="F130" s="8" t="s">
        <v>908</v>
      </c>
      <c r="G130" s="6" t="s">
        <v>83</v>
      </c>
      <c r="H130" s="6" t="s">
        <v>38</v>
      </c>
      <c r="I130" s="8" t="s">
        <v>205</v>
      </c>
      <c r="J130" s="9">
        <v>1</v>
      </c>
      <c r="K130" s="9">
        <v>280</v>
      </c>
      <c r="L130" s="9">
        <v>2023</v>
      </c>
      <c r="M130" s="8" t="s">
        <v>916</v>
      </c>
      <c r="N130" s="8" t="s">
        <v>74</v>
      </c>
      <c r="O130" s="8" t="s">
        <v>394</v>
      </c>
      <c r="P130" s="6" t="s">
        <v>55</v>
      </c>
      <c r="Q130" s="8" t="s">
        <v>207</v>
      </c>
      <c r="R130" s="10" t="s">
        <v>917</v>
      </c>
      <c r="S130" s="11" t="s">
        <v>918</v>
      </c>
      <c r="T130" s="6"/>
      <c r="U130" s="28" t="str">
        <f>HYPERLINK("https://media.infra-m.ru/2008/2008778/cover/2008778.jpg", "Обложка")</f>
        <v>Обложка</v>
      </c>
      <c r="V130" s="28" t="str">
        <f>HYPERLINK("https://znanium.ru/catalog/product/2008778", "Ознакомиться")</f>
        <v>Ознакомиться</v>
      </c>
      <c r="W130" s="8" t="s">
        <v>912</v>
      </c>
      <c r="X130" s="6"/>
      <c r="Y130" s="6"/>
      <c r="Z130" s="6" t="s">
        <v>235</v>
      </c>
      <c r="AA130" s="6" t="s">
        <v>78</v>
      </c>
    </row>
    <row r="131" spans="1:27" s="4" customFormat="1" ht="51.95" customHeight="1">
      <c r="A131" s="5">
        <v>0</v>
      </c>
      <c r="B131" s="6" t="s">
        <v>919</v>
      </c>
      <c r="C131" s="7">
        <v>1260</v>
      </c>
      <c r="D131" s="8" t="s">
        <v>920</v>
      </c>
      <c r="E131" s="8" t="s">
        <v>921</v>
      </c>
      <c r="F131" s="8" t="s">
        <v>908</v>
      </c>
      <c r="G131" s="6" t="s">
        <v>83</v>
      </c>
      <c r="H131" s="6" t="s">
        <v>38</v>
      </c>
      <c r="I131" s="8" t="s">
        <v>185</v>
      </c>
      <c r="J131" s="9">
        <v>1</v>
      </c>
      <c r="K131" s="9">
        <v>280</v>
      </c>
      <c r="L131" s="9">
        <v>2023</v>
      </c>
      <c r="M131" s="8" t="s">
        <v>922</v>
      </c>
      <c r="N131" s="8" t="s">
        <v>74</v>
      </c>
      <c r="O131" s="8" t="s">
        <v>394</v>
      </c>
      <c r="P131" s="6" t="s">
        <v>55</v>
      </c>
      <c r="Q131" s="8" t="s">
        <v>187</v>
      </c>
      <c r="R131" s="10" t="s">
        <v>923</v>
      </c>
      <c r="S131" s="11" t="s">
        <v>924</v>
      </c>
      <c r="T131" s="6"/>
      <c r="U131" s="28" t="str">
        <f>HYPERLINK("https://media.infra-m.ru/1893/1893817/cover/1893817.jpg", "Обложка")</f>
        <v>Обложка</v>
      </c>
      <c r="V131" s="28" t="str">
        <f>HYPERLINK("https://znanium.ru/catalog/product/1893817", "Ознакомиться")</f>
        <v>Ознакомиться</v>
      </c>
      <c r="W131" s="8" t="s">
        <v>912</v>
      </c>
      <c r="X131" s="6"/>
      <c r="Y131" s="6"/>
      <c r="Z131" s="6" t="s">
        <v>192</v>
      </c>
      <c r="AA131" s="6" t="s">
        <v>768</v>
      </c>
    </row>
    <row r="132" spans="1:27" s="4" customFormat="1" ht="51.95" customHeight="1">
      <c r="A132" s="5">
        <v>0</v>
      </c>
      <c r="B132" s="6" t="s">
        <v>925</v>
      </c>
      <c r="C132" s="7">
        <v>1260</v>
      </c>
      <c r="D132" s="8" t="s">
        <v>926</v>
      </c>
      <c r="E132" s="8" t="s">
        <v>927</v>
      </c>
      <c r="F132" s="8" t="s">
        <v>928</v>
      </c>
      <c r="G132" s="6" t="s">
        <v>123</v>
      </c>
      <c r="H132" s="6" t="s">
        <v>38</v>
      </c>
      <c r="I132" s="8" t="s">
        <v>155</v>
      </c>
      <c r="J132" s="9">
        <v>1</v>
      </c>
      <c r="K132" s="9">
        <v>258</v>
      </c>
      <c r="L132" s="9">
        <v>2023</v>
      </c>
      <c r="M132" s="8" t="s">
        <v>929</v>
      </c>
      <c r="N132" s="8" t="s">
        <v>74</v>
      </c>
      <c r="O132" s="8" t="s">
        <v>394</v>
      </c>
      <c r="P132" s="6" t="s">
        <v>55</v>
      </c>
      <c r="Q132" s="8" t="s">
        <v>56</v>
      </c>
      <c r="R132" s="10" t="s">
        <v>910</v>
      </c>
      <c r="S132" s="11" t="s">
        <v>911</v>
      </c>
      <c r="T132" s="6"/>
      <c r="U132" s="28" t="str">
        <f>HYPERLINK("https://media.infra-m.ru/1921/1921385/cover/1921385.jpg", "Обложка")</f>
        <v>Обложка</v>
      </c>
      <c r="V132" s="28" t="str">
        <f>HYPERLINK("https://znanium.ru/catalog/product/1921385", "Ознакомиться")</f>
        <v>Ознакомиться</v>
      </c>
      <c r="W132" s="8" t="s">
        <v>912</v>
      </c>
      <c r="X132" s="6"/>
      <c r="Y132" s="6"/>
      <c r="Z132" s="6"/>
      <c r="AA132" s="6" t="s">
        <v>768</v>
      </c>
    </row>
    <row r="133" spans="1:27" s="4" customFormat="1" ht="51.95" customHeight="1">
      <c r="A133" s="5">
        <v>0</v>
      </c>
      <c r="B133" s="6" t="s">
        <v>930</v>
      </c>
      <c r="C133" s="13">
        <v>530</v>
      </c>
      <c r="D133" s="8" t="s">
        <v>931</v>
      </c>
      <c r="E133" s="8" t="s">
        <v>932</v>
      </c>
      <c r="F133" s="8" t="s">
        <v>933</v>
      </c>
      <c r="G133" s="6" t="s">
        <v>37</v>
      </c>
      <c r="H133" s="6" t="s">
        <v>934</v>
      </c>
      <c r="I133" s="8" t="s">
        <v>39</v>
      </c>
      <c r="J133" s="9">
        <v>1</v>
      </c>
      <c r="K133" s="9">
        <v>149</v>
      </c>
      <c r="L133" s="9">
        <v>2020</v>
      </c>
      <c r="M133" s="8" t="s">
        <v>935</v>
      </c>
      <c r="N133" s="8" t="s">
        <v>74</v>
      </c>
      <c r="O133" s="8" t="s">
        <v>75</v>
      </c>
      <c r="P133" s="6" t="s">
        <v>43</v>
      </c>
      <c r="Q133" s="8" t="s">
        <v>44</v>
      </c>
      <c r="R133" s="10" t="s">
        <v>936</v>
      </c>
      <c r="S133" s="11"/>
      <c r="T133" s="6"/>
      <c r="U133" s="28" t="str">
        <f>HYPERLINK("https://media.infra-m.ru/1067/1067426/cover/1067426.jpg", "Обложка")</f>
        <v>Обложка</v>
      </c>
      <c r="V133" s="28" t="str">
        <f>HYPERLINK("https://znanium.ru/catalog/product/1067426", "Ознакомиться")</f>
        <v>Ознакомиться</v>
      </c>
      <c r="W133" s="8" t="s">
        <v>159</v>
      </c>
      <c r="X133" s="6"/>
      <c r="Y133" s="6"/>
      <c r="Z133" s="6"/>
      <c r="AA133" s="6" t="s">
        <v>47</v>
      </c>
    </row>
    <row r="134" spans="1:27" s="4" customFormat="1" ht="51.95" customHeight="1">
      <c r="A134" s="5">
        <v>0</v>
      </c>
      <c r="B134" s="6" t="s">
        <v>937</v>
      </c>
      <c r="C134" s="13">
        <v>854</v>
      </c>
      <c r="D134" s="8" t="s">
        <v>938</v>
      </c>
      <c r="E134" s="8" t="s">
        <v>939</v>
      </c>
      <c r="F134" s="8" t="s">
        <v>406</v>
      </c>
      <c r="G134" s="6" t="s">
        <v>83</v>
      </c>
      <c r="H134" s="6" t="s">
        <v>38</v>
      </c>
      <c r="I134" s="8" t="s">
        <v>39</v>
      </c>
      <c r="J134" s="9">
        <v>1</v>
      </c>
      <c r="K134" s="9">
        <v>187</v>
      </c>
      <c r="L134" s="9">
        <v>2023</v>
      </c>
      <c r="M134" s="8" t="s">
        <v>940</v>
      </c>
      <c r="N134" s="8" t="s">
        <v>74</v>
      </c>
      <c r="O134" s="8" t="s">
        <v>75</v>
      </c>
      <c r="P134" s="6" t="s">
        <v>43</v>
      </c>
      <c r="Q134" s="8" t="s">
        <v>177</v>
      </c>
      <c r="R134" s="10" t="s">
        <v>941</v>
      </c>
      <c r="S134" s="11"/>
      <c r="T134" s="6"/>
      <c r="U134" s="28" t="str">
        <f>HYPERLINK("https://media.infra-m.ru/2006/2006083/cover/2006083.jpg", "Обложка")</f>
        <v>Обложка</v>
      </c>
      <c r="V134" s="28" t="str">
        <f>HYPERLINK("https://znanium.ru/catalog/product/1541979", "Ознакомиться")</f>
        <v>Ознакомиться</v>
      </c>
      <c r="W134" s="8" t="s">
        <v>409</v>
      </c>
      <c r="X134" s="6"/>
      <c r="Y134" s="6"/>
      <c r="Z134" s="6"/>
      <c r="AA134" s="6" t="s">
        <v>650</v>
      </c>
    </row>
    <row r="135" spans="1:27" s="4" customFormat="1" ht="42" customHeight="1">
      <c r="A135" s="5">
        <v>0</v>
      </c>
      <c r="B135" s="6" t="s">
        <v>942</v>
      </c>
      <c r="C135" s="13">
        <v>700</v>
      </c>
      <c r="D135" s="8" t="s">
        <v>943</v>
      </c>
      <c r="E135" s="8" t="s">
        <v>944</v>
      </c>
      <c r="F135" s="8" t="s">
        <v>400</v>
      </c>
      <c r="G135" s="6" t="s">
        <v>37</v>
      </c>
      <c r="H135" s="6" t="s">
        <v>38</v>
      </c>
      <c r="I135" s="8" t="s">
        <v>39</v>
      </c>
      <c r="J135" s="9">
        <v>1</v>
      </c>
      <c r="K135" s="9">
        <v>155</v>
      </c>
      <c r="L135" s="9">
        <v>2023</v>
      </c>
      <c r="M135" s="8" t="s">
        <v>945</v>
      </c>
      <c r="N135" s="8" t="s">
        <v>74</v>
      </c>
      <c r="O135" s="8" t="s">
        <v>93</v>
      </c>
      <c r="P135" s="6" t="s">
        <v>43</v>
      </c>
      <c r="Q135" s="8" t="s">
        <v>44</v>
      </c>
      <c r="R135" s="10" t="s">
        <v>946</v>
      </c>
      <c r="S135" s="11"/>
      <c r="T135" s="6"/>
      <c r="U135" s="28" t="str">
        <f>HYPERLINK("https://media.infra-m.ru/1873/1873769/cover/1873769.jpg", "Обложка")</f>
        <v>Обложка</v>
      </c>
      <c r="V135" s="28" t="str">
        <f>HYPERLINK("https://znanium.ru/catalog/product/1873769", "Ознакомиться")</f>
        <v>Ознакомиться</v>
      </c>
      <c r="W135" s="8" t="s">
        <v>402</v>
      </c>
      <c r="X135" s="6"/>
      <c r="Y135" s="6"/>
      <c r="Z135" s="6"/>
      <c r="AA135" s="6" t="s">
        <v>78</v>
      </c>
    </row>
    <row r="136" spans="1:27" s="4" customFormat="1" ht="51.95" customHeight="1">
      <c r="A136" s="5">
        <v>0</v>
      </c>
      <c r="B136" s="6" t="s">
        <v>947</v>
      </c>
      <c r="C136" s="7">
        <v>1070</v>
      </c>
      <c r="D136" s="8" t="s">
        <v>948</v>
      </c>
      <c r="E136" s="8" t="s">
        <v>949</v>
      </c>
      <c r="F136" s="8" t="s">
        <v>950</v>
      </c>
      <c r="G136" s="6" t="s">
        <v>37</v>
      </c>
      <c r="H136" s="6" t="s">
        <v>38</v>
      </c>
      <c r="I136" s="8" t="s">
        <v>39</v>
      </c>
      <c r="J136" s="9">
        <v>1</v>
      </c>
      <c r="K136" s="9">
        <v>218</v>
      </c>
      <c r="L136" s="9">
        <v>2024</v>
      </c>
      <c r="M136" s="8" t="s">
        <v>951</v>
      </c>
      <c r="N136" s="8" t="s">
        <v>41</v>
      </c>
      <c r="O136" s="8" t="s">
        <v>65</v>
      </c>
      <c r="P136" s="6" t="s">
        <v>43</v>
      </c>
      <c r="Q136" s="8" t="s">
        <v>44</v>
      </c>
      <c r="R136" s="10" t="s">
        <v>952</v>
      </c>
      <c r="S136" s="11"/>
      <c r="T136" s="6"/>
      <c r="U136" s="28" t="str">
        <f>HYPERLINK("https://media.infra-m.ru/2135/2135239/cover/2135239.jpg", "Обложка")</f>
        <v>Обложка</v>
      </c>
      <c r="V136" s="28" t="str">
        <f>HYPERLINK("https://znanium.ru/catalog/product/2135239", "Ознакомиться")</f>
        <v>Ознакомиться</v>
      </c>
      <c r="W136" s="8"/>
      <c r="X136" s="6"/>
      <c r="Y136" s="6"/>
      <c r="Z136" s="6"/>
      <c r="AA136" s="6" t="s">
        <v>111</v>
      </c>
    </row>
    <row r="137" spans="1:27" s="4" customFormat="1" ht="51.95" customHeight="1">
      <c r="A137" s="5">
        <v>0</v>
      </c>
      <c r="B137" s="6" t="s">
        <v>953</v>
      </c>
      <c r="C137" s="13">
        <v>299.89999999999998</v>
      </c>
      <c r="D137" s="8" t="s">
        <v>954</v>
      </c>
      <c r="E137" s="8" t="s">
        <v>955</v>
      </c>
      <c r="F137" s="8" t="s">
        <v>956</v>
      </c>
      <c r="G137" s="6"/>
      <c r="H137" s="6" t="s">
        <v>957</v>
      </c>
      <c r="I137" s="8" t="s">
        <v>958</v>
      </c>
      <c r="J137" s="9">
        <v>10</v>
      </c>
      <c r="K137" s="9">
        <v>60</v>
      </c>
      <c r="L137" s="9">
        <v>2015</v>
      </c>
      <c r="M137" s="8" t="s">
        <v>959</v>
      </c>
      <c r="N137" s="8" t="s">
        <v>41</v>
      </c>
      <c r="O137" s="8" t="s">
        <v>54</v>
      </c>
      <c r="P137" s="6" t="s">
        <v>960</v>
      </c>
      <c r="Q137" s="8" t="s">
        <v>44</v>
      </c>
      <c r="R137" s="10" t="s">
        <v>961</v>
      </c>
      <c r="S137" s="11"/>
      <c r="T137" s="6"/>
      <c r="U137" s="12"/>
      <c r="V137" s="28" t="str">
        <f>HYPERLINK("https://znanium.ru/catalog/product/500813", "Ознакомиться")</f>
        <v>Ознакомиться</v>
      </c>
      <c r="W137" s="8" t="s">
        <v>962</v>
      </c>
      <c r="X137" s="6"/>
      <c r="Y137" s="6"/>
      <c r="Z137" s="6"/>
      <c r="AA137" s="6" t="s">
        <v>290</v>
      </c>
    </row>
    <row r="138" spans="1:27" s="4" customFormat="1" ht="51.95" customHeight="1">
      <c r="A138" s="5">
        <v>0</v>
      </c>
      <c r="B138" s="6" t="s">
        <v>963</v>
      </c>
      <c r="C138" s="7">
        <v>1134</v>
      </c>
      <c r="D138" s="8" t="s">
        <v>964</v>
      </c>
      <c r="E138" s="8" t="s">
        <v>965</v>
      </c>
      <c r="F138" s="8" t="s">
        <v>966</v>
      </c>
      <c r="G138" s="6" t="s">
        <v>37</v>
      </c>
      <c r="H138" s="6" t="s">
        <v>52</v>
      </c>
      <c r="I138" s="8" t="s">
        <v>155</v>
      </c>
      <c r="J138" s="9">
        <v>1</v>
      </c>
      <c r="K138" s="9">
        <v>239</v>
      </c>
      <c r="L138" s="9">
        <v>2024</v>
      </c>
      <c r="M138" s="8" t="s">
        <v>967</v>
      </c>
      <c r="N138" s="8" t="s">
        <v>41</v>
      </c>
      <c r="O138" s="8" t="s">
        <v>54</v>
      </c>
      <c r="P138" s="6" t="s">
        <v>55</v>
      </c>
      <c r="Q138" s="8" t="s">
        <v>177</v>
      </c>
      <c r="R138" s="10" t="s">
        <v>440</v>
      </c>
      <c r="S138" s="11" t="s">
        <v>968</v>
      </c>
      <c r="T138" s="6"/>
      <c r="U138" s="28" t="str">
        <f>HYPERLINK("https://media.infra-m.ru/2140/2140717/cover/2140717.jpg", "Обложка")</f>
        <v>Обложка</v>
      </c>
      <c r="V138" s="28" t="str">
        <f>HYPERLINK("https://znanium.ru/catalog/product/2083409", "Ознакомиться")</f>
        <v>Ознакомиться</v>
      </c>
      <c r="W138" s="8" t="s">
        <v>969</v>
      </c>
      <c r="X138" s="6"/>
      <c r="Y138" s="6"/>
      <c r="Z138" s="6"/>
      <c r="AA138" s="6" t="s">
        <v>381</v>
      </c>
    </row>
    <row r="139" spans="1:27" s="4" customFormat="1" ht="42" customHeight="1">
      <c r="A139" s="5">
        <v>0</v>
      </c>
      <c r="B139" s="6" t="s">
        <v>970</v>
      </c>
      <c r="C139" s="13">
        <v>780</v>
      </c>
      <c r="D139" s="8" t="s">
        <v>971</v>
      </c>
      <c r="E139" s="8" t="s">
        <v>972</v>
      </c>
      <c r="F139" s="8" t="s">
        <v>973</v>
      </c>
      <c r="G139" s="6" t="s">
        <v>83</v>
      </c>
      <c r="H139" s="6" t="s">
        <v>38</v>
      </c>
      <c r="I139" s="8" t="s">
        <v>974</v>
      </c>
      <c r="J139" s="9">
        <v>1</v>
      </c>
      <c r="K139" s="9">
        <v>160</v>
      </c>
      <c r="L139" s="9">
        <v>2024</v>
      </c>
      <c r="M139" s="8" t="s">
        <v>975</v>
      </c>
      <c r="N139" s="8" t="s">
        <v>41</v>
      </c>
      <c r="O139" s="8" t="s">
        <v>54</v>
      </c>
      <c r="P139" s="6" t="s">
        <v>976</v>
      </c>
      <c r="Q139" s="8" t="s">
        <v>44</v>
      </c>
      <c r="R139" s="10" t="s">
        <v>977</v>
      </c>
      <c r="S139" s="11"/>
      <c r="T139" s="6"/>
      <c r="U139" s="28" t="str">
        <f>HYPERLINK("https://media.infra-m.ru/2093/2093943/cover/2093943.jpg", "Обложка")</f>
        <v>Обложка</v>
      </c>
      <c r="V139" s="28" t="str">
        <f>HYPERLINK("https://znanium.ru/catalog/product/2093943", "Ознакомиться")</f>
        <v>Ознакомиться</v>
      </c>
      <c r="W139" s="8" t="s">
        <v>978</v>
      </c>
      <c r="X139" s="6"/>
      <c r="Y139" s="6"/>
      <c r="Z139" s="6"/>
      <c r="AA139" s="6" t="s">
        <v>364</v>
      </c>
    </row>
    <row r="140" spans="1:27" s="4" customFormat="1" ht="51.95" customHeight="1">
      <c r="A140" s="5">
        <v>0</v>
      </c>
      <c r="B140" s="6" t="s">
        <v>979</v>
      </c>
      <c r="C140" s="13">
        <v>364</v>
      </c>
      <c r="D140" s="8" t="s">
        <v>980</v>
      </c>
      <c r="E140" s="8" t="s">
        <v>981</v>
      </c>
      <c r="F140" s="8" t="s">
        <v>982</v>
      </c>
      <c r="G140" s="6" t="s">
        <v>37</v>
      </c>
      <c r="H140" s="6" t="s">
        <v>725</v>
      </c>
      <c r="I140" s="8"/>
      <c r="J140" s="9">
        <v>1</v>
      </c>
      <c r="K140" s="9">
        <v>72</v>
      </c>
      <c r="L140" s="9">
        <v>2024</v>
      </c>
      <c r="M140" s="8" t="s">
        <v>983</v>
      </c>
      <c r="N140" s="8" t="s">
        <v>74</v>
      </c>
      <c r="O140" s="8" t="s">
        <v>75</v>
      </c>
      <c r="P140" s="6" t="s">
        <v>984</v>
      </c>
      <c r="Q140" s="8" t="s">
        <v>56</v>
      </c>
      <c r="R140" s="10" t="s">
        <v>985</v>
      </c>
      <c r="S140" s="11"/>
      <c r="T140" s="6"/>
      <c r="U140" s="28" t="str">
        <f>HYPERLINK("https://media.infra-m.ru/2083/2083306/cover/2083306.jpg", "Обложка")</f>
        <v>Обложка</v>
      </c>
      <c r="V140" s="28" t="str">
        <f>HYPERLINK("https://znanium.ru/catalog/product/1010756", "Ознакомиться")</f>
        <v>Ознакомиться</v>
      </c>
      <c r="W140" s="8" t="s">
        <v>986</v>
      </c>
      <c r="X140" s="6"/>
      <c r="Y140" s="6"/>
      <c r="Z140" s="6"/>
      <c r="AA140" s="6" t="s">
        <v>47</v>
      </c>
    </row>
    <row r="141" spans="1:27" s="4" customFormat="1" ht="42" customHeight="1">
      <c r="A141" s="5">
        <v>0</v>
      </c>
      <c r="B141" s="6" t="s">
        <v>987</v>
      </c>
      <c r="C141" s="7">
        <v>1114</v>
      </c>
      <c r="D141" s="8" t="s">
        <v>988</v>
      </c>
      <c r="E141" s="8" t="s">
        <v>989</v>
      </c>
      <c r="F141" s="8" t="s">
        <v>72</v>
      </c>
      <c r="G141" s="6" t="s">
        <v>37</v>
      </c>
      <c r="H141" s="6" t="s">
        <v>38</v>
      </c>
      <c r="I141" s="8" t="s">
        <v>39</v>
      </c>
      <c r="J141" s="9">
        <v>1</v>
      </c>
      <c r="K141" s="9">
        <v>233</v>
      </c>
      <c r="L141" s="9">
        <v>2024</v>
      </c>
      <c r="M141" s="8" t="s">
        <v>990</v>
      </c>
      <c r="N141" s="8" t="s">
        <v>74</v>
      </c>
      <c r="O141" s="8" t="s">
        <v>75</v>
      </c>
      <c r="P141" s="6" t="s">
        <v>43</v>
      </c>
      <c r="Q141" s="8" t="s">
        <v>44</v>
      </c>
      <c r="R141" s="10" t="s">
        <v>991</v>
      </c>
      <c r="S141" s="11"/>
      <c r="T141" s="6"/>
      <c r="U141" s="28" t="str">
        <f>HYPERLINK("https://media.infra-m.ru/2136/2136049/cover/2136049.jpg", "Обложка")</f>
        <v>Обложка</v>
      </c>
      <c r="V141" s="28" t="str">
        <f>HYPERLINK("https://znanium.ru/catalog/product/2067399", "Ознакомиться")</f>
        <v>Ознакомиться</v>
      </c>
      <c r="W141" s="8" t="s">
        <v>77</v>
      </c>
      <c r="X141" s="6"/>
      <c r="Y141" s="6"/>
      <c r="Z141" s="6"/>
      <c r="AA141" s="6" t="s">
        <v>111</v>
      </c>
    </row>
    <row r="142" spans="1:27" s="4" customFormat="1" ht="42" customHeight="1">
      <c r="A142" s="5">
        <v>0</v>
      </c>
      <c r="B142" s="6" t="s">
        <v>992</v>
      </c>
      <c r="C142" s="7">
        <v>2197</v>
      </c>
      <c r="D142" s="8" t="s">
        <v>993</v>
      </c>
      <c r="E142" s="8" t="s">
        <v>994</v>
      </c>
      <c r="F142" s="8" t="s">
        <v>995</v>
      </c>
      <c r="G142" s="6" t="s">
        <v>123</v>
      </c>
      <c r="H142" s="6" t="s">
        <v>38</v>
      </c>
      <c r="I142" s="8" t="s">
        <v>795</v>
      </c>
      <c r="J142" s="9">
        <v>1</v>
      </c>
      <c r="K142" s="9">
        <v>726</v>
      </c>
      <c r="L142" s="9">
        <v>2024</v>
      </c>
      <c r="M142" s="8" t="s">
        <v>996</v>
      </c>
      <c r="N142" s="8" t="s">
        <v>74</v>
      </c>
      <c r="O142" s="8" t="s">
        <v>75</v>
      </c>
      <c r="P142" s="6" t="s">
        <v>378</v>
      </c>
      <c r="Q142" s="8" t="s">
        <v>44</v>
      </c>
      <c r="R142" s="10" t="s">
        <v>997</v>
      </c>
      <c r="S142" s="11"/>
      <c r="T142" s="6"/>
      <c r="U142" s="28" t="str">
        <f>HYPERLINK("https://media.infra-m.ru/2149/2149738/cover/2149738.jpg", "Обложка")</f>
        <v>Обложка</v>
      </c>
      <c r="V142" s="28" t="str">
        <f>HYPERLINK("https://znanium.ru/catalog/product/1031524", "Ознакомиться")</f>
        <v>Ознакомиться</v>
      </c>
      <c r="W142" s="8" t="s">
        <v>998</v>
      </c>
      <c r="X142" s="6"/>
      <c r="Y142" s="6"/>
      <c r="Z142" s="6"/>
      <c r="AA142" s="6" t="s">
        <v>306</v>
      </c>
    </row>
    <row r="143" spans="1:27" s="4" customFormat="1" ht="51.95" customHeight="1">
      <c r="A143" s="5">
        <v>0</v>
      </c>
      <c r="B143" s="6" t="s">
        <v>999</v>
      </c>
      <c r="C143" s="13">
        <v>840</v>
      </c>
      <c r="D143" s="8" t="s">
        <v>1000</v>
      </c>
      <c r="E143" s="8" t="s">
        <v>1001</v>
      </c>
      <c r="F143" s="8" t="s">
        <v>1002</v>
      </c>
      <c r="G143" s="6" t="s">
        <v>83</v>
      </c>
      <c r="H143" s="6" t="s">
        <v>38</v>
      </c>
      <c r="I143" s="8" t="s">
        <v>39</v>
      </c>
      <c r="J143" s="9">
        <v>1</v>
      </c>
      <c r="K143" s="9">
        <v>219</v>
      </c>
      <c r="L143" s="9">
        <v>2022</v>
      </c>
      <c r="M143" s="8" t="s">
        <v>1003</v>
      </c>
      <c r="N143" s="8" t="s">
        <v>41</v>
      </c>
      <c r="O143" s="8" t="s">
        <v>65</v>
      </c>
      <c r="P143" s="6" t="s">
        <v>43</v>
      </c>
      <c r="Q143" s="8" t="s">
        <v>44</v>
      </c>
      <c r="R143" s="10" t="s">
        <v>1004</v>
      </c>
      <c r="S143" s="11"/>
      <c r="T143" s="6"/>
      <c r="U143" s="28" t="str">
        <f>HYPERLINK("https://media.infra-m.ru/1864/1864073/cover/1864073.jpg", "Обложка")</f>
        <v>Обложка</v>
      </c>
      <c r="V143" s="28" t="str">
        <f>HYPERLINK("https://znanium.ru/catalog/product/1864073", "Ознакомиться")</f>
        <v>Ознакомиться</v>
      </c>
      <c r="W143" s="8" t="s">
        <v>1005</v>
      </c>
      <c r="X143" s="6"/>
      <c r="Y143" s="6"/>
      <c r="Z143" s="6"/>
      <c r="AA143" s="6" t="s">
        <v>1006</v>
      </c>
    </row>
    <row r="144" spans="1:27" s="4" customFormat="1" ht="51.95" customHeight="1">
      <c r="A144" s="5">
        <v>0</v>
      </c>
      <c r="B144" s="6" t="s">
        <v>1007</v>
      </c>
      <c r="C144" s="13">
        <v>700</v>
      </c>
      <c r="D144" s="8" t="s">
        <v>1008</v>
      </c>
      <c r="E144" s="8" t="s">
        <v>1009</v>
      </c>
      <c r="F144" s="8" t="s">
        <v>1002</v>
      </c>
      <c r="G144" s="6" t="s">
        <v>123</v>
      </c>
      <c r="H144" s="6" t="s">
        <v>38</v>
      </c>
      <c r="I144" s="8" t="s">
        <v>39</v>
      </c>
      <c r="J144" s="9">
        <v>1</v>
      </c>
      <c r="K144" s="9">
        <v>196</v>
      </c>
      <c r="L144" s="9">
        <v>2020</v>
      </c>
      <c r="M144" s="8" t="s">
        <v>1010</v>
      </c>
      <c r="N144" s="8" t="s">
        <v>41</v>
      </c>
      <c r="O144" s="8" t="s">
        <v>65</v>
      </c>
      <c r="P144" s="6" t="s">
        <v>43</v>
      </c>
      <c r="Q144" s="8" t="s">
        <v>44</v>
      </c>
      <c r="R144" s="10" t="s">
        <v>1004</v>
      </c>
      <c r="S144" s="11"/>
      <c r="T144" s="6"/>
      <c r="U144" s="28" t="str">
        <f>HYPERLINK("https://media.infra-m.ru/1033/1033110/cover/1033110.jpg", "Обложка")</f>
        <v>Обложка</v>
      </c>
      <c r="V144" s="28" t="str">
        <f>HYPERLINK("https://znanium.ru/catalog/product/1864073", "Ознакомиться")</f>
        <v>Ознакомиться</v>
      </c>
      <c r="W144" s="8" t="s">
        <v>1005</v>
      </c>
      <c r="X144" s="6"/>
      <c r="Y144" s="6"/>
      <c r="Z144" s="6"/>
      <c r="AA144" s="6" t="s">
        <v>141</v>
      </c>
    </row>
    <row r="145" spans="1:27" s="4" customFormat="1" ht="51.95" customHeight="1">
      <c r="A145" s="5">
        <v>0</v>
      </c>
      <c r="B145" s="6" t="s">
        <v>1011</v>
      </c>
      <c r="C145" s="13">
        <v>514</v>
      </c>
      <c r="D145" s="8" t="s">
        <v>1012</v>
      </c>
      <c r="E145" s="8" t="s">
        <v>1013</v>
      </c>
      <c r="F145" s="8" t="s">
        <v>400</v>
      </c>
      <c r="G145" s="6" t="s">
        <v>37</v>
      </c>
      <c r="H145" s="6" t="s">
        <v>38</v>
      </c>
      <c r="I145" s="8" t="s">
        <v>39</v>
      </c>
      <c r="J145" s="9">
        <v>1</v>
      </c>
      <c r="K145" s="9">
        <v>115</v>
      </c>
      <c r="L145" s="9">
        <v>2023</v>
      </c>
      <c r="M145" s="8" t="s">
        <v>1014</v>
      </c>
      <c r="N145" s="8" t="s">
        <v>74</v>
      </c>
      <c r="O145" s="8" t="s">
        <v>93</v>
      </c>
      <c r="P145" s="6" t="s">
        <v>43</v>
      </c>
      <c r="Q145" s="8" t="s">
        <v>44</v>
      </c>
      <c r="R145" s="10" t="s">
        <v>1015</v>
      </c>
      <c r="S145" s="11"/>
      <c r="T145" s="6"/>
      <c r="U145" s="28" t="str">
        <f>HYPERLINK("https://media.infra-m.ru/1859/1859805/cover/1859805.jpg", "Обложка")</f>
        <v>Обложка</v>
      </c>
      <c r="V145" s="28" t="str">
        <f>HYPERLINK("https://znanium.ru/catalog/product/1081969", "Ознакомиться")</f>
        <v>Ознакомиться</v>
      </c>
      <c r="W145" s="8" t="s">
        <v>402</v>
      </c>
      <c r="X145" s="6"/>
      <c r="Y145" s="6"/>
      <c r="Z145" s="6"/>
      <c r="AA145" s="6" t="s">
        <v>364</v>
      </c>
    </row>
    <row r="146" spans="1:27" s="4" customFormat="1" ht="44.1" customHeight="1">
      <c r="A146" s="5">
        <v>0</v>
      </c>
      <c r="B146" s="6" t="s">
        <v>1016</v>
      </c>
      <c r="C146" s="13">
        <v>870</v>
      </c>
      <c r="D146" s="8" t="s">
        <v>1017</v>
      </c>
      <c r="E146" s="8" t="s">
        <v>1018</v>
      </c>
      <c r="F146" s="8" t="s">
        <v>1019</v>
      </c>
      <c r="G146" s="6" t="s">
        <v>37</v>
      </c>
      <c r="H146" s="6" t="s">
        <v>38</v>
      </c>
      <c r="I146" s="8" t="s">
        <v>39</v>
      </c>
      <c r="J146" s="9">
        <v>1</v>
      </c>
      <c r="K146" s="9">
        <v>229</v>
      </c>
      <c r="L146" s="9">
        <v>2022</v>
      </c>
      <c r="M146" s="8" t="s">
        <v>1020</v>
      </c>
      <c r="N146" s="8" t="s">
        <v>41</v>
      </c>
      <c r="O146" s="8" t="s">
        <v>65</v>
      </c>
      <c r="P146" s="6" t="s">
        <v>43</v>
      </c>
      <c r="Q146" s="8" t="s">
        <v>44</v>
      </c>
      <c r="R146" s="10" t="s">
        <v>1021</v>
      </c>
      <c r="S146" s="11"/>
      <c r="T146" s="6"/>
      <c r="U146" s="28" t="str">
        <f>HYPERLINK("https://media.infra-m.ru/1855/1855766/cover/1855766.jpg", "Обложка")</f>
        <v>Обложка</v>
      </c>
      <c r="V146" s="28" t="str">
        <f>HYPERLINK("https://znanium.ru/catalog/product/1855766", "Ознакомиться")</f>
        <v>Ознакомиться</v>
      </c>
      <c r="W146" s="8" t="s">
        <v>297</v>
      </c>
      <c r="X146" s="6"/>
      <c r="Y146" s="6"/>
      <c r="Z146" s="6"/>
      <c r="AA146" s="6" t="s">
        <v>141</v>
      </c>
    </row>
    <row r="147" spans="1:27" s="4" customFormat="1" ht="42" customHeight="1">
      <c r="A147" s="5">
        <v>0</v>
      </c>
      <c r="B147" s="6" t="s">
        <v>1022</v>
      </c>
      <c r="C147" s="13">
        <v>890</v>
      </c>
      <c r="D147" s="8" t="s">
        <v>1023</v>
      </c>
      <c r="E147" s="8" t="s">
        <v>1024</v>
      </c>
      <c r="F147" s="8" t="s">
        <v>1025</v>
      </c>
      <c r="G147" s="6" t="s">
        <v>37</v>
      </c>
      <c r="H147" s="6" t="s">
        <v>38</v>
      </c>
      <c r="I147" s="8"/>
      <c r="J147" s="9">
        <v>1</v>
      </c>
      <c r="K147" s="9">
        <v>187</v>
      </c>
      <c r="L147" s="9">
        <v>2024</v>
      </c>
      <c r="M147" s="8" t="s">
        <v>1026</v>
      </c>
      <c r="N147" s="8" t="s">
        <v>41</v>
      </c>
      <c r="O147" s="8" t="s">
        <v>65</v>
      </c>
      <c r="P147" s="6" t="s">
        <v>43</v>
      </c>
      <c r="Q147" s="8" t="s">
        <v>44</v>
      </c>
      <c r="R147" s="10" t="s">
        <v>1027</v>
      </c>
      <c r="S147" s="11"/>
      <c r="T147" s="6"/>
      <c r="U147" s="28" t="str">
        <f>HYPERLINK("https://media.infra-m.ru/1993/1993651/cover/1993651.jpg", "Обложка")</f>
        <v>Обложка</v>
      </c>
      <c r="V147" s="28" t="str">
        <f>HYPERLINK("https://znanium.ru/catalog/product/1993651", "Ознакомиться")</f>
        <v>Ознакомиться</v>
      </c>
      <c r="W147" s="8" t="s">
        <v>1028</v>
      </c>
      <c r="X147" s="6"/>
      <c r="Y147" s="6"/>
      <c r="Z147" s="6"/>
      <c r="AA147" s="6" t="s">
        <v>141</v>
      </c>
    </row>
    <row r="148" spans="1:27" s="4" customFormat="1" ht="42" customHeight="1">
      <c r="A148" s="5">
        <v>0</v>
      </c>
      <c r="B148" s="6" t="s">
        <v>1029</v>
      </c>
      <c r="C148" s="7">
        <v>1450</v>
      </c>
      <c r="D148" s="8" t="s">
        <v>1030</v>
      </c>
      <c r="E148" s="8" t="s">
        <v>1031</v>
      </c>
      <c r="F148" s="8" t="s">
        <v>1032</v>
      </c>
      <c r="G148" s="6" t="s">
        <v>123</v>
      </c>
      <c r="H148" s="6" t="s">
        <v>38</v>
      </c>
      <c r="I148" s="8" t="s">
        <v>39</v>
      </c>
      <c r="J148" s="9">
        <v>1</v>
      </c>
      <c r="K148" s="9">
        <v>340</v>
      </c>
      <c r="L148" s="9">
        <v>2022</v>
      </c>
      <c r="M148" s="8" t="s">
        <v>1033</v>
      </c>
      <c r="N148" s="8" t="s">
        <v>74</v>
      </c>
      <c r="O148" s="8" t="s">
        <v>75</v>
      </c>
      <c r="P148" s="6" t="s">
        <v>43</v>
      </c>
      <c r="Q148" s="8" t="s">
        <v>44</v>
      </c>
      <c r="R148" s="10" t="s">
        <v>1034</v>
      </c>
      <c r="S148" s="11"/>
      <c r="T148" s="6"/>
      <c r="U148" s="28" t="str">
        <f>HYPERLINK("https://media.infra-m.ru/1841/1841827/cover/1841827.jpg", "Обложка")</f>
        <v>Обложка</v>
      </c>
      <c r="V148" s="28" t="str">
        <f>HYPERLINK("https://znanium.ru/catalog/product/1841827", "Ознакомиться")</f>
        <v>Ознакомиться</v>
      </c>
      <c r="W148" s="8" t="s">
        <v>1035</v>
      </c>
      <c r="X148" s="6"/>
      <c r="Y148" s="6"/>
      <c r="Z148" s="6"/>
      <c r="AA148" s="6" t="s">
        <v>103</v>
      </c>
    </row>
    <row r="149" spans="1:27" s="4" customFormat="1" ht="51.95" customHeight="1">
      <c r="A149" s="5">
        <v>0</v>
      </c>
      <c r="B149" s="6" t="s">
        <v>1036</v>
      </c>
      <c r="C149" s="13">
        <v>540</v>
      </c>
      <c r="D149" s="8" t="s">
        <v>1037</v>
      </c>
      <c r="E149" s="8" t="s">
        <v>1038</v>
      </c>
      <c r="F149" s="8" t="s">
        <v>1039</v>
      </c>
      <c r="G149" s="6" t="s">
        <v>37</v>
      </c>
      <c r="H149" s="6" t="s">
        <v>470</v>
      </c>
      <c r="I149" s="8" t="s">
        <v>1040</v>
      </c>
      <c r="J149" s="9">
        <v>1</v>
      </c>
      <c r="K149" s="9">
        <v>153</v>
      </c>
      <c r="L149" s="9">
        <v>2020</v>
      </c>
      <c r="M149" s="8" t="s">
        <v>1041</v>
      </c>
      <c r="N149" s="8" t="s">
        <v>74</v>
      </c>
      <c r="O149" s="8" t="s">
        <v>93</v>
      </c>
      <c r="P149" s="6" t="s">
        <v>43</v>
      </c>
      <c r="Q149" s="8" t="s">
        <v>44</v>
      </c>
      <c r="R149" s="10" t="s">
        <v>1042</v>
      </c>
      <c r="S149" s="11"/>
      <c r="T149" s="6"/>
      <c r="U149" s="28" t="str">
        <f>HYPERLINK("https://media.infra-m.ru/1070/1070331/cover/1070331.jpg", "Обложка")</f>
        <v>Обложка</v>
      </c>
      <c r="V149" s="28" t="str">
        <f>HYPERLINK("https://znanium.ru/catalog/product/1070331", "Ознакомиться")</f>
        <v>Ознакомиться</v>
      </c>
      <c r="W149" s="8" t="s">
        <v>557</v>
      </c>
      <c r="X149" s="6"/>
      <c r="Y149" s="6"/>
      <c r="Z149" s="6"/>
      <c r="AA149" s="6" t="s">
        <v>68</v>
      </c>
    </row>
    <row r="150" spans="1:27" s="4" customFormat="1" ht="51.95" customHeight="1">
      <c r="A150" s="5">
        <v>0</v>
      </c>
      <c r="B150" s="6" t="s">
        <v>1043</v>
      </c>
      <c r="C150" s="7">
        <v>1624.9</v>
      </c>
      <c r="D150" s="8" t="s">
        <v>1044</v>
      </c>
      <c r="E150" s="8" t="s">
        <v>1045</v>
      </c>
      <c r="F150" s="8" t="s">
        <v>1046</v>
      </c>
      <c r="G150" s="6" t="s">
        <v>123</v>
      </c>
      <c r="H150" s="6" t="s">
        <v>317</v>
      </c>
      <c r="I150" s="8" t="s">
        <v>164</v>
      </c>
      <c r="J150" s="9">
        <v>1</v>
      </c>
      <c r="K150" s="9">
        <v>360</v>
      </c>
      <c r="L150" s="9">
        <v>2023</v>
      </c>
      <c r="M150" s="8" t="s">
        <v>1047</v>
      </c>
      <c r="N150" s="8" t="s">
        <v>41</v>
      </c>
      <c r="O150" s="8" t="s">
        <v>42</v>
      </c>
      <c r="P150" s="6" t="s">
        <v>55</v>
      </c>
      <c r="Q150" s="8" t="s">
        <v>56</v>
      </c>
      <c r="R150" s="10" t="s">
        <v>1048</v>
      </c>
      <c r="S150" s="11"/>
      <c r="T150" s="6"/>
      <c r="U150" s="28" t="str">
        <f>HYPERLINK("https://media.infra-m.ru/1900/1900367/cover/1900367.jpg", "Обложка")</f>
        <v>Обложка</v>
      </c>
      <c r="V150" s="28" t="str">
        <f>HYPERLINK("https://znanium.ru/catalog/product/1595185", "Ознакомиться")</f>
        <v>Ознакомиться</v>
      </c>
      <c r="W150" s="8"/>
      <c r="X150" s="6"/>
      <c r="Y150" s="6"/>
      <c r="Z150" s="6"/>
      <c r="AA150" s="6" t="s">
        <v>306</v>
      </c>
    </row>
    <row r="151" spans="1:27" s="4" customFormat="1" ht="51.95" customHeight="1">
      <c r="A151" s="5">
        <v>0</v>
      </c>
      <c r="B151" s="6" t="s">
        <v>1049</v>
      </c>
      <c r="C151" s="13">
        <v>960</v>
      </c>
      <c r="D151" s="8" t="s">
        <v>1050</v>
      </c>
      <c r="E151" s="8" t="s">
        <v>1051</v>
      </c>
      <c r="F151" s="8" t="s">
        <v>1052</v>
      </c>
      <c r="G151" s="6" t="s">
        <v>83</v>
      </c>
      <c r="H151" s="6" t="s">
        <v>38</v>
      </c>
      <c r="I151" s="8" t="s">
        <v>155</v>
      </c>
      <c r="J151" s="9">
        <v>1</v>
      </c>
      <c r="K151" s="9">
        <v>201</v>
      </c>
      <c r="L151" s="9">
        <v>2024</v>
      </c>
      <c r="M151" s="8" t="s">
        <v>1053</v>
      </c>
      <c r="N151" s="8" t="s">
        <v>74</v>
      </c>
      <c r="O151" s="8" t="s">
        <v>93</v>
      </c>
      <c r="P151" s="6" t="s">
        <v>55</v>
      </c>
      <c r="Q151" s="8" t="s">
        <v>177</v>
      </c>
      <c r="R151" s="10" t="s">
        <v>1054</v>
      </c>
      <c r="S151" s="11" t="s">
        <v>1055</v>
      </c>
      <c r="T151" s="6"/>
      <c r="U151" s="28" t="str">
        <f>HYPERLINK("https://media.infra-m.ru/2083/2083152/cover/2083152.jpg", "Обложка")</f>
        <v>Обложка</v>
      </c>
      <c r="V151" s="28" t="str">
        <f>HYPERLINK("https://znanium.ru/catalog/product/2083152", "Ознакомиться")</f>
        <v>Ознакомиться</v>
      </c>
      <c r="W151" s="8" t="s">
        <v>1056</v>
      </c>
      <c r="X151" s="6"/>
      <c r="Y151" s="6"/>
      <c r="Z151" s="6"/>
      <c r="AA151" s="6" t="s">
        <v>111</v>
      </c>
    </row>
    <row r="152" spans="1:27" s="4" customFormat="1" ht="51.95" customHeight="1">
      <c r="A152" s="5">
        <v>0</v>
      </c>
      <c r="B152" s="6" t="s">
        <v>1057</v>
      </c>
      <c r="C152" s="7">
        <v>1060</v>
      </c>
      <c r="D152" s="8" t="s">
        <v>1058</v>
      </c>
      <c r="E152" s="8" t="s">
        <v>1059</v>
      </c>
      <c r="F152" s="8" t="s">
        <v>1060</v>
      </c>
      <c r="G152" s="6" t="s">
        <v>83</v>
      </c>
      <c r="H152" s="6" t="s">
        <v>38</v>
      </c>
      <c r="I152" s="8" t="s">
        <v>155</v>
      </c>
      <c r="J152" s="9">
        <v>1</v>
      </c>
      <c r="K152" s="9">
        <v>229</v>
      </c>
      <c r="L152" s="9">
        <v>2024</v>
      </c>
      <c r="M152" s="8" t="s">
        <v>1061</v>
      </c>
      <c r="N152" s="8" t="s">
        <v>74</v>
      </c>
      <c r="O152" s="8" t="s">
        <v>394</v>
      </c>
      <c r="P152" s="6" t="s">
        <v>176</v>
      </c>
      <c r="Q152" s="8" t="s">
        <v>56</v>
      </c>
      <c r="R152" s="10" t="s">
        <v>1062</v>
      </c>
      <c r="S152" s="11" t="s">
        <v>1063</v>
      </c>
      <c r="T152" s="6"/>
      <c r="U152" s="28" t="str">
        <f>HYPERLINK("https://media.infra-m.ru/2084/2084161/cover/2084161.jpg", "Обложка")</f>
        <v>Обложка</v>
      </c>
      <c r="V152" s="28" t="str">
        <f>HYPERLINK("https://znanium.ru/catalog/product/2084161", "Ознакомиться")</f>
        <v>Ознакомиться</v>
      </c>
      <c r="W152" s="8" t="s">
        <v>900</v>
      </c>
      <c r="X152" s="6"/>
      <c r="Y152" s="6"/>
      <c r="Z152" s="6"/>
      <c r="AA152" s="6" t="s">
        <v>103</v>
      </c>
    </row>
    <row r="153" spans="1:27" s="4" customFormat="1" ht="44.1" customHeight="1">
      <c r="A153" s="5">
        <v>0</v>
      </c>
      <c r="B153" s="6" t="s">
        <v>1064</v>
      </c>
      <c r="C153" s="7">
        <v>1914</v>
      </c>
      <c r="D153" s="8" t="s">
        <v>1065</v>
      </c>
      <c r="E153" s="8" t="s">
        <v>1066</v>
      </c>
      <c r="F153" s="8" t="s">
        <v>1067</v>
      </c>
      <c r="G153" s="6" t="s">
        <v>123</v>
      </c>
      <c r="H153" s="6" t="s">
        <v>38</v>
      </c>
      <c r="I153" s="8" t="s">
        <v>164</v>
      </c>
      <c r="J153" s="9">
        <v>1</v>
      </c>
      <c r="K153" s="9">
        <v>415</v>
      </c>
      <c r="L153" s="9">
        <v>2024</v>
      </c>
      <c r="M153" s="8" t="s">
        <v>1068</v>
      </c>
      <c r="N153" s="8" t="s">
        <v>74</v>
      </c>
      <c r="O153" s="8" t="s">
        <v>109</v>
      </c>
      <c r="P153" s="6" t="s">
        <v>176</v>
      </c>
      <c r="Q153" s="8" t="s">
        <v>56</v>
      </c>
      <c r="R153" s="10" t="s">
        <v>1069</v>
      </c>
      <c r="S153" s="11"/>
      <c r="T153" s="6"/>
      <c r="U153" s="28" t="str">
        <f>HYPERLINK("https://media.infra-m.ru/2117/2117636/cover/2117636.jpg", "Обложка")</f>
        <v>Обложка</v>
      </c>
      <c r="V153" s="28" t="str">
        <f>HYPERLINK("https://znanium.ru/catalog/product/1846429", "Ознакомиться")</f>
        <v>Ознакомиться</v>
      </c>
      <c r="W153" s="8" t="s">
        <v>1070</v>
      </c>
      <c r="X153" s="6"/>
      <c r="Y153" s="6"/>
      <c r="Z153" s="6"/>
      <c r="AA153" s="6" t="s">
        <v>381</v>
      </c>
    </row>
    <row r="154" spans="1:27" s="4" customFormat="1" ht="42" customHeight="1">
      <c r="A154" s="5">
        <v>0</v>
      </c>
      <c r="B154" s="6" t="s">
        <v>1071</v>
      </c>
      <c r="C154" s="13">
        <v>810</v>
      </c>
      <c r="D154" s="8" t="s">
        <v>1072</v>
      </c>
      <c r="E154" s="8" t="s">
        <v>1073</v>
      </c>
      <c r="F154" s="8" t="s">
        <v>1074</v>
      </c>
      <c r="G154" s="6" t="s">
        <v>83</v>
      </c>
      <c r="H154" s="6" t="s">
        <v>317</v>
      </c>
      <c r="I154" s="8" t="s">
        <v>492</v>
      </c>
      <c r="J154" s="9">
        <v>1</v>
      </c>
      <c r="K154" s="9">
        <v>212</v>
      </c>
      <c r="L154" s="9">
        <v>2022</v>
      </c>
      <c r="M154" s="8" t="s">
        <v>1075</v>
      </c>
      <c r="N154" s="8" t="s">
        <v>74</v>
      </c>
      <c r="O154" s="8" t="s">
        <v>93</v>
      </c>
      <c r="P154" s="6" t="s">
        <v>55</v>
      </c>
      <c r="Q154" s="8" t="s">
        <v>56</v>
      </c>
      <c r="R154" s="10" t="s">
        <v>1076</v>
      </c>
      <c r="S154" s="11"/>
      <c r="T154" s="6"/>
      <c r="U154" s="28" t="str">
        <f>HYPERLINK("https://media.infra-m.ru/1861/1861891/cover/1861891.jpg", "Обложка")</f>
        <v>Обложка</v>
      </c>
      <c r="V154" s="28" t="str">
        <f>HYPERLINK("https://znanium.ru/catalog/product/1861891", "Ознакомиться")</f>
        <v>Ознакомиться</v>
      </c>
      <c r="W154" s="8" t="s">
        <v>1077</v>
      </c>
      <c r="X154" s="6"/>
      <c r="Y154" s="6"/>
      <c r="Z154" s="6"/>
      <c r="AA154" s="6" t="s">
        <v>68</v>
      </c>
    </row>
    <row r="155" spans="1:27" s="4" customFormat="1" ht="51.95" customHeight="1">
      <c r="A155" s="5">
        <v>0</v>
      </c>
      <c r="B155" s="6" t="s">
        <v>1078</v>
      </c>
      <c r="C155" s="7">
        <v>1810</v>
      </c>
      <c r="D155" s="8" t="s">
        <v>1079</v>
      </c>
      <c r="E155" s="8" t="s">
        <v>1080</v>
      </c>
      <c r="F155" s="8" t="s">
        <v>1081</v>
      </c>
      <c r="G155" s="6" t="s">
        <v>83</v>
      </c>
      <c r="H155" s="6" t="s">
        <v>38</v>
      </c>
      <c r="I155" s="8" t="s">
        <v>155</v>
      </c>
      <c r="J155" s="9">
        <v>1</v>
      </c>
      <c r="K155" s="9">
        <v>381</v>
      </c>
      <c r="L155" s="9">
        <v>2024</v>
      </c>
      <c r="M155" s="8" t="s">
        <v>1082</v>
      </c>
      <c r="N155" s="8" t="s">
        <v>74</v>
      </c>
      <c r="O155" s="8" t="s">
        <v>75</v>
      </c>
      <c r="P155" s="6" t="s">
        <v>176</v>
      </c>
      <c r="Q155" s="8" t="s">
        <v>56</v>
      </c>
      <c r="R155" s="10" t="s">
        <v>1083</v>
      </c>
      <c r="S155" s="11" t="s">
        <v>1084</v>
      </c>
      <c r="T155" s="6"/>
      <c r="U155" s="28" t="str">
        <f>HYPERLINK("https://media.infra-m.ru/2096/2096119/cover/2096119.jpg", "Обложка")</f>
        <v>Обложка</v>
      </c>
      <c r="V155" s="28" t="str">
        <f>HYPERLINK("https://znanium.ru/catalog/product/2096119", "Ознакомиться")</f>
        <v>Ознакомиться</v>
      </c>
      <c r="W155" s="8" t="s">
        <v>1085</v>
      </c>
      <c r="X155" s="6"/>
      <c r="Y155" s="6"/>
      <c r="Z155" s="6"/>
      <c r="AA155" s="6" t="s">
        <v>111</v>
      </c>
    </row>
    <row r="156" spans="1:27" s="4" customFormat="1" ht="51.95" customHeight="1">
      <c r="A156" s="5">
        <v>0</v>
      </c>
      <c r="B156" s="6" t="s">
        <v>1086</v>
      </c>
      <c r="C156" s="7">
        <v>1204</v>
      </c>
      <c r="D156" s="8" t="s">
        <v>1087</v>
      </c>
      <c r="E156" s="8" t="s">
        <v>1088</v>
      </c>
      <c r="F156" s="8" t="s">
        <v>1089</v>
      </c>
      <c r="G156" s="6" t="s">
        <v>83</v>
      </c>
      <c r="H156" s="6" t="s">
        <v>38</v>
      </c>
      <c r="I156" s="8" t="s">
        <v>164</v>
      </c>
      <c r="J156" s="9">
        <v>1</v>
      </c>
      <c r="K156" s="9">
        <v>263</v>
      </c>
      <c r="L156" s="9">
        <v>2023</v>
      </c>
      <c r="M156" s="8" t="s">
        <v>1090</v>
      </c>
      <c r="N156" s="8" t="s">
        <v>74</v>
      </c>
      <c r="O156" s="8" t="s">
        <v>75</v>
      </c>
      <c r="P156" s="6" t="s">
        <v>55</v>
      </c>
      <c r="Q156" s="8" t="s">
        <v>56</v>
      </c>
      <c r="R156" s="10" t="s">
        <v>1091</v>
      </c>
      <c r="S156" s="11" t="s">
        <v>1092</v>
      </c>
      <c r="T156" s="6"/>
      <c r="U156" s="28" t="str">
        <f>HYPERLINK("https://media.infra-m.ru/2110/2110482/cover/2110482.jpg", "Обложка")</f>
        <v>Обложка</v>
      </c>
      <c r="V156" s="28" t="str">
        <f>HYPERLINK("https://znanium.ru/catalog/product/1915364", "Ознакомиться")</f>
        <v>Ознакомиться</v>
      </c>
      <c r="W156" s="8" t="s">
        <v>1093</v>
      </c>
      <c r="X156" s="6"/>
      <c r="Y156" s="6"/>
      <c r="Z156" s="6"/>
      <c r="AA156" s="6" t="s">
        <v>768</v>
      </c>
    </row>
    <row r="157" spans="1:27" s="4" customFormat="1" ht="51.95" customHeight="1">
      <c r="A157" s="5">
        <v>0</v>
      </c>
      <c r="B157" s="6" t="s">
        <v>1094</v>
      </c>
      <c r="C157" s="7">
        <v>1190</v>
      </c>
      <c r="D157" s="8" t="s">
        <v>1095</v>
      </c>
      <c r="E157" s="8" t="s">
        <v>1088</v>
      </c>
      <c r="F157" s="8" t="s">
        <v>1089</v>
      </c>
      <c r="G157" s="6" t="s">
        <v>83</v>
      </c>
      <c r="H157" s="6" t="s">
        <v>38</v>
      </c>
      <c r="I157" s="8" t="s">
        <v>205</v>
      </c>
      <c r="J157" s="9">
        <v>1</v>
      </c>
      <c r="K157" s="9">
        <v>263</v>
      </c>
      <c r="L157" s="9">
        <v>2023</v>
      </c>
      <c r="M157" s="8" t="s">
        <v>1096</v>
      </c>
      <c r="N157" s="8" t="s">
        <v>74</v>
      </c>
      <c r="O157" s="8" t="s">
        <v>75</v>
      </c>
      <c r="P157" s="6" t="s">
        <v>55</v>
      </c>
      <c r="Q157" s="8" t="s">
        <v>207</v>
      </c>
      <c r="R157" s="10" t="s">
        <v>1097</v>
      </c>
      <c r="S157" s="11" t="s">
        <v>1098</v>
      </c>
      <c r="T157" s="6"/>
      <c r="U157" s="28" t="str">
        <f>HYPERLINK("https://media.infra-m.ru/1912/1912437/cover/1912437.jpg", "Обложка")</f>
        <v>Обложка</v>
      </c>
      <c r="V157" s="28" t="str">
        <f>HYPERLINK("https://znanium.ru/catalog/product/1912437", "Ознакомиться")</f>
        <v>Ознакомиться</v>
      </c>
      <c r="W157" s="8" t="s">
        <v>1093</v>
      </c>
      <c r="X157" s="6"/>
      <c r="Y157" s="6"/>
      <c r="Z157" s="6" t="s">
        <v>235</v>
      </c>
      <c r="AA157" s="6" t="s">
        <v>150</v>
      </c>
    </row>
    <row r="158" spans="1:27" s="4" customFormat="1" ht="51.95" customHeight="1">
      <c r="A158" s="5">
        <v>0</v>
      </c>
      <c r="B158" s="6" t="s">
        <v>1099</v>
      </c>
      <c r="C158" s="13">
        <v>920</v>
      </c>
      <c r="D158" s="8" t="s">
        <v>1100</v>
      </c>
      <c r="E158" s="8" t="s">
        <v>1101</v>
      </c>
      <c r="F158" s="8" t="s">
        <v>1102</v>
      </c>
      <c r="G158" s="6" t="s">
        <v>37</v>
      </c>
      <c r="H158" s="6" t="s">
        <v>38</v>
      </c>
      <c r="I158" s="8" t="s">
        <v>39</v>
      </c>
      <c r="J158" s="9">
        <v>1</v>
      </c>
      <c r="K158" s="9">
        <v>249</v>
      </c>
      <c r="L158" s="9">
        <v>2021</v>
      </c>
      <c r="M158" s="8" t="s">
        <v>1103</v>
      </c>
      <c r="N158" s="8" t="s">
        <v>41</v>
      </c>
      <c r="O158" s="8" t="s">
        <v>65</v>
      </c>
      <c r="P158" s="6" t="s">
        <v>43</v>
      </c>
      <c r="Q158" s="8" t="s">
        <v>44</v>
      </c>
      <c r="R158" s="10" t="s">
        <v>1104</v>
      </c>
      <c r="S158" s="11"/>
      <c r="T158" s="6"/>
      <c r="U158" s="28" t="str">
        <f>HYPERLINK("https://media.infra-m.ru/1206/1206679/cover/1206679.jpg", "Обложка")</f>
        <v>Обложка</v>
      </c>
      <c r="V158" s="28" t="str">
        <f>HYPERLINK("https://znanium.ru/catalog/product/1206679", "Ознакомиться")</f>
        <v>Ознакомиться</v>
      </c>
      <c r="W158" s="8" t="s">
        <v>1105</v>
      </c>
      <c r="X158" s="6"/>
      <c r="Y158" s="6"/>
      <c r="Z158" s="6"/>
      <c r="AA158" s="6" t="s">
        <v>193</v>
      </c>
    </row>
    <row r="159" spans="1:27" s="4" customFormat="1" ht="42" customHeight="1">
      <c r="A159" s="5">
        <v>0</v>
      </c>
      <c r="B159" s="6" t="s">
        <v>1106</v>
      </c>
      <c r="C159" s="13">
        <v>900</v>
      </c>
      <c r="D159" s="8" t="s">
        <v>1107</v>
      </c>
      <c r="E159" s="8" t="s">
        <v>1108</v>
      </c>
      <c r="F159" s="8" t="s">
        <v>1109</v>
      </c>
      <c r="G159" s="6" t="s">
        <v>83</v>
      </c>
      <c r="H159" s="6" t="s">
        <v>38</v>
      </c>
      <c r="I159" s="8" t="s">
        <v>39</v>
      </c>
      <c r="J159" s="9">
        <v>1</v>
      </c>
      <c r="K159" s="9">
        <v>190</v>
      </c>
      <c r="L159" s="9">
        <v>2024</v>
      </c>
      <c r="M159" s="8" t="s">
        <v>1110</v>
      </c>
      <c r="N159" s="8" t="s">
        <v>74</v>
      </c>
      <c r="O159" s="8" t="s">
        <v>93</v>
      </c>
      <c r="P159" s="6" t="s">
        <v>43</v>
      </c>
      <c r="Q159" s="8" t="s">
        <v>44</v>
      </c>
      <c r="R159" s="10" t="s">
        <v>1054</v>
      </c>
      <c r="S159" s="11"/>
      <c r="T159" s="6"/>
      <c r="U159" s="28" t="str">
        <f>HYPERLINK("https://media.infra-m.ru/2119/2119943/cover/2119943.jpg", "Обложка")</f>
        <v>Обложка</v>
      </c>
      <c r="V159" s="28" t="str">
        <f>HYPERLINK("https://znanium.ru/catalog/product/2119943", "Ознакомиться")</f>
        <v>Ознакомиться</v>
      </c>
      <c r="W159" s="8" t="s">
        <v>1111</v>
      </c>
      <c r="X159" s="6"/>
      <c r="Y159" s="6"/>
      <c r="Z159" s="6"/>
      <c r="AA159" s="6" t="s">
        <v>650</v>
      </c>
    </row>
    <row r="160" spans="1:27" s="4" customFormat="1" ht="42" customHeight="1">
      <c r="A160" s="5">
        <v>0</v>
      </c>
      <c r="B160" s="6" t="s">
        <v>1112</v>
      </c>
      <c r="C160" s="13">
        <v>990</v>
      </c>
      <c r="D160" s="8" t="s">
        <v>1113</v>
      </c>
      <c r="E160" s="8" t="s">
        <v>1114</v>
      </c>
      <c r="F160" s="8" t="s">
        <v>1115</v>
      </c>
      <c r="G160" s="6" t="s">
        <v>37</v>
      </c>
      <c r="H160" s="6" t="s">
        <v>38</v>
      </c>
      <c r="I160" s="8" t="s">
        <v>39</v>
      </c>
      <c r="J160" s="9">
        <v>1</v>
      </c>
      <c r="K160" s="9">
        <v>210</v>
      </c>
      <c r="L160" s="9">
        <v>2024</v>
      </c>
      <c r="M160" s="8" t="s">
        <v>1116</v>
      </c>
      <c r="N160" s="8" t="s">
        <v>41</v>
      </c>
      <c r="O160" s="8" t="s">
        <v>42</v>
      </c>
      <c r="P160" s="6" t="s">
        <v>43</v>
      </c>
      <c r="Q160" s="8" t="s">
        <v>44</v>
      </c>
      <c r="R160" s="10" t="s">
        <v>1117</v>
      </c>
      <c r="S160" s="11"/>
      <c r="T160" s="6"/>
      <c r="U160" s="28" t="str">
        <f>HYPERLINK("https://media.infra-m.ru/2113/2113310/cover/2113310.jpg", "Обложка")</f>
        <v>Обложка</v>
      </c>
      <c r="V160" s="28" t="str">
        <f>HYPERLINK("https://znanium.ru/catalog/product/2113310", "Ознакомиться")</f>
        <v>Ознакомиться</v>
      </c>
      <c r="W160" s="8" t="s">
        <v>1118</v>
      </c>
      <c r="X160" s="6"/>
      <c r="Y160" s="6"/>
      <c r="Z160" s="6"/>
      <c r="AA160" s="6" t="s">
        <v>193</v>
      </c>
    </row>
    <row r="161" spans="1:27" s="4" customFormat="1" ht="42" customHeight="1">
      <c r="A161" s="5">
        <v>0</v>
      </c>
      <c r="B161" s="6" t="s">
        <v>1119</v>
      </c>
      <c r="C161" s="13">
        <v>880</v>
      </c>
      <c r="D161" s="8" t="s">
        <v>1120</v>
      </c>
      <c r="E161" s="8" t="s">
        <v>1121</v>
      </c>
      <c r="F161" s="8" t="s">
        <v>1122</v>
      </c>
      <c r="G161" s="6" t="s">
        <v>37</v>
      </c>
      <c r="H161" s="6" t="s">
        <v>38</v>
      </c>
      <c r="I161" s="8" t="s">
        <v>39</v>
      </c>
      <c r="J161" s="9">
        <v>1</v>
      </c>
      <c r="K161" s="9">
        <v>178</v>
      </c>
      <c r="L161" s="9">
        <v>2023</v>
      </c>
      <c r="M161" s="8" t="s">
        <v>1123</v>
      </c>
      <c r="N161" s="8" t="s">
        <v>41</v>
      </c>
      <c r="O161" s="8" t="s">
        <v>65</v>
      </c>
      <c r="P161" s="6" t="s">
        <v>43</v>
      </c>
      <c r="Q161" s="8" t="s">
        <v>44</v>
      </c>
      <c r="R161" s="10" t="s">
        <v>1124</v>
      </c>
      <c r="S161" s="11"/>
      <c r="T161" s="6"/>
      <c r="U161" s="28" t="str">
        <f>HYPERLINK("https://media.infra-m.ru/2032/2032495/cover/2032495.jpg", "Обложка")</f>
        <v>Обложка</v>
      </c>
      <c r="V161" s="28" t="str">
        <f>HYPERLINK("https://znanium.ru/catalog/product/2032495", "Ознакомиться")</f>
        <v>Ознакомиться</v>
      </c>
      <c r="W161" s="8" t="s">
        <v>355</v>
      </c>
      <c r="X161" s="6" t="s">
        <v>641</v>
      </c>
      <c r="Y161" s="6"/>
      <c r="Z161" s="6"/>
      <c r="AA161" s="6" t="s">
        <v>111</v>
      </c>
    </row>
    <row r="162" spans="1:27" s="4" customFormat="1" ht="42" customHeight="1">
      <c r="A162" s="5">
        <v>0</v>
      </c>
      <c r="B162" s="6" t="s">
        <v>1125</v>
      </c>
      <c r="C162" s="13">
        <v>939.9</v>
      </c>
      <c r="D162" s="8" t="s">
        <v>1126</v>
      </c>
      <c r="E162" s="8" t="s">
        <v>1127</v>
      </c>
      <c r="F162" s="8" t="s">
        <v>1128</v>
      </c>
      <c r="G162" s="6" t="s">
        <v>1129</v>
      </c>
      <c r="H162" s="6" t="s">
        <v>618</v>
      </c>
      <c r="I162" s="8"/>
      <c r="J162" s="9">
        <v>1</v>
      </c>
      <c r="K162" s="9">
        <v>224</v>
      </c>
      <c r="L162" s="9">
        <v>2018</v>
      </c>
      <c r="M162" s="8" t="s">
        <v>1130</v>
      </c>
      <c r="N162" s="8" t="s">
        <v>41</v>
      </c>
      <c r="O162" s="8" t="s">
        <v>65</v>
      </c>
      <c r="P162" s="6" t="s">
        <v>43</v>
      </c>
      <c r="Q162" s="8" t="s">
        <v>44</v>
      </c>
      <c r="R162" s="10" t="s">
        <v>1131</v>
      </c>
      <c r="S162" s="11"/>
      <c r="T162" s="6"/>
      <c r="U162" s="28" t="str">
        <f>HYPERLINK("https://media.infra-m.ru/0988/0988408/cover/988408.jpg", "Обложка")</f>
        <v>Обложка</v>
      </c>
      <c r="V162" s="28" t="str">
        <f>HYPERLINK("https://znanium.ru/catalog/product/960153", "Ознакомиться")</f>
        <v>Ознакомиться</v>
      </c>
      <c r="W162" s="8"/>
      <c r="X162" s="6"/>
      <c r="Y162" s="6"/>
      <c r="Z162" s="6"/>
      <c r="AA162" s="6" t="s">
        <v>68</v>
      </c>
    </row>
    <row r="163" spans="1:27" s="4" customFormat="1" ht="51.95" customHeight="1">
      <c r="A163" s="5">
        <v>0</v>
      </c>
      <c r="B163" s="6" t="s">
        <v>1132</v>
      </c>
      <c r="C163" s="13">
        <v>434.9</v>
      </c>
      <c r="D163" s="8" t="s">
        <v>1133</v>
      </c>
      <c r="E163" s="8" t="s">
        <v>1134</v>
      </c>
      <c r="F163" s="8" t="s">
        <v>1135</v>
      </c>
      <c r="G163" s="6" t="s">
        <v>37</v>
      </c>
      <c r="H163" s="6" t="s">
        <v>725</v>
      </c>
      <c r="I163" s="8"/>
      <c r="J163" s="9">
        <v>1</v>
      </c>
      <c r="K163" s="9">
        <v>144</v>
      </c>
      <c r="L163" s="9">
        <v>2019</v>
      </c>
      <c r="M163" s="8" t="s">
        <v>1136</v>
      </c>
      <c r="N163" s="8" t="s">
        <v>74</v>
      </c>
      <c r="O163" s="8" t="s">
        <v>75</v>
      </c>
      <c r="P163" s="6" t="s">
        <v>55</v>
      </c>
      <c r="Q163" s="8" t="s">
        <v>56</v>
      </c>
      <c r="R163" s="10" t="s">
        <v>178</v>
      </c>
      <c r="S163" s="11"/>
      <c r="T163" s="6"/>
      <c r="U163" s="28" t="str">
        <f>HYPERLINK("https://media.infra-m.ru/1008/1008522/cover/1008522.jpg", "Обложка")</f>
        <v>Обложка</v>
      </c>
      <c r="V163" s="28" t="str">
        <f>HYPERLINK("https://znanium.ru/catalog/product/1915661", "Ознакомиться")</f>
        <v>Ознакомиться</v>
      </c>
      <c r="W163" s="8" t="s">
        <v>1137</v>
      </c>
      <c r="X163" s="6"/>
      <c r="Y163" s="6"/>
      <c r="Z163" s="6"/>
      <c r="AA163" s="6" t="s">
        <v>1138</v>
      </c>
    </row>
    <row r="164" spans="1:27" s="4" customFormat="1" ht="42" customHeight="1">
      <c r="A164" s="5">
        <v>0</v>
      </c>
      <c r="B164" s="6" t="s">
        <v>1139</v>
      </c>
      <c r="C164" s="13">
        <v>730</v>
      </c>
      <c r="D164" s="8" t="s">
        <v>1140</v>
      </c>
      <c r="E164" s="8" t="s">
        <v>1141</v>
      </c>
      <c r="F164" s="8" t="s">
        <v>1142</v>
      </c>
      <c r="G164" s="6" t="s">
        <v>37</v>
      </c>
      <c r="H164" s="6" t="s">
        <v>38</v>
      </c>
      <c r="I164" s="8" t="s">
        <v>39</v>
      </c>
      <c r="J164" s="9">
        <v>1</v>
      </c>
      <c r="K164" s="9">
        <v>161</v>
      </c>
      <c r="L164" s="9">
        <v>2023</v>
      </c>
      <c r="M164" s="8" t="s">
        <v>1143</v>
      </c>
      <c r="N164" s="8" t="s">
        <v>41</v>
      </c>
      <c r="O164" s="8" t="s">
        <v>42</v>
      </c>
      <c r="P164" s="6" t="s">
        <v>43</v>
      </c>
      <c r="Q164" s="8" t="s">
        <v>44</v>
      </c>
      <c r="R164" s="10" t="s">
        <v>148</v>
      </c>
      <c r="S164" s="11"/>
      <c r="T164" s="6"/>
      <c r="U164" s="28" t="str">
        <f>HYPERLINK("https://media.infra-m.ru/2008/2008792/cover/2008792.jpg", "Обложка")</f>
        <v>Обложка</v>
      </c>
      <c r="V164" s="28" t="str">
        <f>HYPERLINK("https://znanium.ru/catalog/product/2008792", "Ознакомиться")</f>
        <v>Ознакомиться</v>
      </c>
      <c r="W164" s="8" t="s">
        <v>1144</v>
      </c>
      <c r="X164" s="6"/>
      <c r="Y164" s="6"/>
      <c r="Z164" s="6"/>
      <c r="AA164" s="6" t="s">
        <v>193</v>
      </c>
    </row>
    <row r="165" spans="1:27" s="4" customFormat="1" ht="51.95" customHeight="1">
      <c r="A165" s="5">
        <v>0</v>
      </c>
      <c r="B165" s="6" t="s">
        <v>1145</v>
      </c>
      <c r="C165" s="13">
        <v>100</v>
      </c>
      <c r="D165" s="8" t="s">
        <v>1146</v>
      </c>
      <c r="E165" s="8" t="s">
        <v>1147</v>
      </c>
      <c r="F165" s="8" t="s">
        <v>1148</v>
      </c>
      <c r="G165" s="6" t="s">
        <v>1149</v>
      </c>
      <c r="H165" s="6" t="s">
        <v>38</v>
      </c>
      <c r="I165" s="8"/>
      <c r="J165" s="9">
        <v>1</v>
      </c>
      <c r="K165" s="9">
        <v>24</v>
      </c>
      <c r="L165" s="9">
        <v>2019</v>
      </c>
      <c r="M165" s="8" t="s">
        <v>1150</v>
      </c>
      <c r="N165" s="8" t="s">
        <v>41</v>
      </c>
      <c r="O165" s="8" t="s">
        <v>65</v>
      </c>
      <c r="P165" s="6" t="s">
        <v>1151</v>
      </c>
      <c r="Q165" s="8" t="s">
        <v>44</v>
      </c>
      <c r="R165" s="10" t="s">
        <v>1152</v>
      </c>
      <c r="S165" s="11"/>
      <c r="T165" s="6" t="s">
        <v>190</v>
      </c>
      <c r="U165" s="28" t="str">
        <f>HYPERLINK("https://media.infra-m.ru/0988/0988351/cover/988351.jpg", "Обложка")</f>
        <v>Обложка</v>
      </c>
      <c r="V165" s="28" t="str">
        <f>HYPERLINK("https://znanium.ru/catalog/product/2106215", "Ознакомиться")</f>
        <v>Ознакомиться</v>
      </c>
      <c r="W165" s="8"/>
      <c r="X165" s="6"/>
      <c r="Y165" s="6"/>
      <c r="Z165" s="6"/>
      <c r="AA165" s="6" t="s">
        <v>364</v>
      </c>
    </row>
    <row r="166" spans="1:27" s="4" customFormat="1" ht="42" customHeight="1">
      <c r="A166" s="5">
        <v>0</v>
      </c>
      <c r="B166" s="6" t="s">
        <v>1153</v>
      </c>
      <c r="C166" s="13">
        <v>980</v>
      </c>
      <c r="D166" s="8" t="s">
        <v>1154</v>
      </c>
      <c r="E166" s="8" t="s">
        <v>1155</v>
      </c>
      <c r="F166" s="8" t="s">
        <v>1156</v>
      </c>
      <c r="G166" s="6" t="s">
        <v>83</v>
      </c>
      <c r="H166" s="6" t="s">
        <v>38</v>
      </c>
      <c r="I166" s="8" t="s">
        <v>39</v>
      </c>
      <c r="J166" s="9">
        <v>1</v>
      </c>
      <c r="K166" s="9">
        <v>189</v>
      </c>
      <c r="L166" s="9">
        <v>2024</v>
      </c>
      <c r="M166" s="8" t="s">
        <v>1157</v>
      </c>
      <c r="N166" s="8" t="s">
        <v>74</v>
      </c>
      <c r="O166" s="8" t="s">
        <v>75</v>
      </c>
      <c r="P166" s="6" t="s">
        <v>43</v>
      </c>
      <c r="Q166" s="8" t="s">
        <v>44</v>
      </c>
      <c r="R166" s="10" t="s">
        <v>1034</v>
      </c>
      <c r="S166" s="11"/>
      <c r="T166" s="6"/>
      <c r="U166" s="28" t="str">
        <f>HYPERLINK("https://media.infra-m.ru/2144/2144245/cover/2144245.jpg", "Обложка")</f>
        <v>Обложка</v>
      </c>
      <c r="V166" s="28" t="str">
        <f>HYPERLINK("https://znanium.ru/catalog/product/2144245", "Ознакомиться")</f>
        <v>Ознакомиться</v>
      </c>
      <c r="W166" s="8"/>
      <c r="X166" s="6"/>
      <c r="Y166" s="6"/>
      <c r="Z166" s="6"/>
      <c r="AA166" s="6" t="s">
        <v>111</v>
      </c>
    </row>
    <row r="167" spans="1:27" s="4" customFormat="1" ht="51.95" customHeight="1">
      <c r="A167" s="5">
        <v>0</v>
      </c>
      <c r="B167" s="6" t="s">
        <v>1158</v>
      </c>
      <c r="C167" s="7">
        <v>1650</v>
      </c>
      <c r="D167" s="8" t="s">
        <v>1159</v>
      </c>
      <c r="E167" s="8" t="s">
        <v>1160</v>
      </c>
      <c r="F167" s="8" t="s">
        <v>1161</v>
      </c>
      <c r="G167" s="6" t="s">
        <v>83</v>
      </c>
      <c r="H167" s="6" t="s">
        <v>38</v>
      </c>
      <c r="I167" s="8" t="s">
        <v>155</v>
      </c>
      <c r="J167" s="9">
        <v>1</v>
      </c>
      <c r="K167" s="9">
        <v>350</v>
      </c>
      <c r="L167" s="9">
        <v>2024</v>
      </c>
      <c r="M167" s="8" t="s">
        <v>1162</v>
      </c>
      <c r="N167" s="8" t="s">
        <v>74</v>
      </c>
      <c r="O167" s="8" t="s">
        <v>109</v>
      </c>
      <c r="P167" s="6" t="s">
        <v>55</v>
      </c>
      <c r="Q167" s="8" t="s">
        <v>56</v>
      </c>
      <c r="R167" s="10" t="s">
        <v>1163</v>
      </c>
      <c r="S167" s="11" t="s">
        <v>1164</v>
      </c>
      <c r="T167" s="6"/>
      <c r="U167" s="28" t="str">
        <f>HYPERLINK("https://media.infra-m.ru/2141/2141031/cover/2141031.jpg", "Обложка")</f>
        <v>Обложка</v>
      </c>
      <c r="V167" s="28" t="str">
        <f>HYPERLINK("https://znanium.ru/catalog/product/2141031", "Ознакомиться")</f>
        <v>Ознакомиться</v>
      </c>
      <c r="W167" s="8" t="s">
        <v>1165</v>
      </c>
      <c r="X167" s="6"/>
      <c r="Y167" s="6"/>
      <c r="Z167" s="6"/>
      <c r="AA167" s="6" t="s">
        <v>150</v>
      </c>
    </row>
    <row r="168" spans="1:27" s="4" customFormat="1" ht="51.95" customHeight="1">
      <c r="A168" s="5">
        <v>0</v>
      </c>
      <c r="B168" s="6" t="s">
        <v>1166</v>
      </c>
      <c r="C168" s="7">
        <v>1200</v>
      </c>
      <c r="D168" s="8" t="s">
        <v>1167</v>
      </c>
      <c r="E168" s="8" t="s">
        <v>1168</v>
      </c>
      <c r="F168" s="8" t="s">
        <v>1169</v>
      </c>
      <c r="G168" s="6" t="s">
        <v>83</v>
      </c>
      <c r="H168" s="6" t="s">
        <v>470</v>
      </c>
      <c r="I168" s="8" t="s">
        <v>164</v>
      </c>
      <c r="J168" s="9">
        <v>1</v>
      </c>
      <c r="K168" s="9">
        <v>352</v>
      </c>
      <c r="L168" s="9">
        <v>2019</v>
      </c>
      <c r="M168" s="8" t="s">
        <v>1170</v>
      </c>
      <c r="N168" s="8" t="s">
        <v>74</v>
      </c>
      <c r="O168" s="8" t="s">
        <v>109</v>
      </c>
      <c r="P168" s="6" t="s">
        <v>55</v>
      </c>
      <c r="Q168" s="8" t="s">
        <v>56</v>
      </c>
      <c r="R168" s="10" t="s">
        <v>1163</v>
      </c>
      <c r="S168" s="11"/>
      <c r="T168" s="6"/>
      <c r="U168" s="28" t="str">
        <f>HYPERLINK("https://media.infra-m.ru/1002/1002742/cover/1002742.jpg", "Обложка")</f>
        <v>Обложка</v>
      </c>
      <c r="V168" s="28" t="str">
        <f>HYPERLINK("https://znanium.ru/catalog/product/2141031", "Ознакомиться")</f>
        <v>Ознакомиться</v>
      </c>
      <c r="W168" s="8" t="s">
        <v>1165</v>
      </c>
      <c r="X168" s="6"/>
      <c r="Y168" s="6"/>
      <c r="Z168" s="6"/>
      <c r="AA168" s="6" t="s">
        <v>47</v>
      </c>
    </row>
    <row r="169" spans="1:27" s="4" customFormat="1" ht="51.95" customHeight="1">
      <c r="A169" s="5">
        <v>0</v>
      </c>
      <c r="B169" s="6" t="s">
        <v>1171</v>
      </c>
      <c r="C169" s="7">
        <v>1560</v>
      </c>
      <c r="D169" s="8" t="s">
        <v>1172</v>
      </c>
      <c r="E169" s="8" t="s">
        <v>1168</v>
      </c>
      <c r="F169" s="8" t="s">
        <v>1161</v>
      </c>
      <c r="G169" s="6" t="s">
        <v>83</v>
      </c>
      <c r="H169" s="6" t="s">
        <v>38</v>
      </c>
      <c r="I169" s="8" t="s">
        <v>205</v>
      </c>
      <c r="J169" s="9">
        <v>1</v>
      </c>
      <c r="K169" s="9">
        <v>338</v>
      </c>
      <c r="L169" s="9">
        <v>2024</v>
      </c>
      <c r="M169" s="8" t="s">
        <v>1173</v>
      </c>
      <c r="N169" s="8" t="s">
        <v>74</v>
      </c>
      <c r="O169" s="8" t="s">
        <v>109</v>
      </c>
      <c r="P169" s="6" t="s">
        <v>55</v>
      </c>
      <c r="Q169" s="8" t="s">
        <v>207</v>
      </c>
      <c r="R169" s="10" t="s">
        <v>1174</v>
      </c>
      <c r="S169" s="11" t="s">
        <v>1175</v>
      </c>
      <c r="T169" s="6"/>
      <c r="U169" s="28" t="str">
        <f>HYPERLINK("https://media.infra-m.ru/2076/2076019/cover/2076019.jpg", "Обложка")</f>
        <v>Обложка</v>
      </c>
      <c r="V169" s="28" t="str">
        <f>HYPERLINK("https://znanium.ru/catalog/product/2076019", "Ознакомиться")</f>
        <v>Ознакомиться</v>
      </c>
      <c r="W169" s="8" t="s">
        <v>1165</v>
      </c>
      <c r="X169" s="6"/>
      <c r="Y169" s="6" t="s">
        <v>30</v>
      </c>
      <c r="Z169" s="6" t="s">
        <v>235</v>
      </c>
      <c r="AA169" s="6" t="s">
        <v>78</v>
      </c>
    </row>
    <row r="170" spans="1:27" s="4" customFormat="1" ht="42" customHeight="1">
      <c r="A170" s="5">
        <v>0</v>
      </c>
      <c r="B170" s="6" t="s">
        <v>1176</v>
      </c>
      <c r="C170" s="7">
        <v>1700</v>
      </c>
      <c r="D170" s="8" t="s">
        <v>1177</v>
      </c>
      <c r="E170" s="8" t="s">
        <v>1178</v>
      </c>
      <c r="F170" s="8" t="s">
        <v>1102</v>
      </c>
      <c r="G170" s="6" t="s">
        <v>37</v>
      </c>
      <c r="H170" s="6" t="s">
        <v>38</v>
      </c>
      <c r="I170" s="8" t="s">
        <v>39</v>
      </c>
      <c r="J170" s="9">
        <v>1</v>
      </c>
      <c r="K170" s="9">
        <v>368</v>
      </c>
      <c r="L170" s="9">
        <v>2024</v>
      </c>
      <c r="M170" s="8" t="s">
        <v>1179</v>
      </c>
      <c r="N170" s="8" t="s">
        <v>41</v>
      </c>
      <c r="O170" s="8" t="s">
        <v>65</v>
      </c>
      <c r="P170" s="6" t="s">
        <v>43</v>
      </c>
      <c r="Q170" s="8" t="s">
        <v>44</v>
      </c>
      <c r="R170" s="10" t="s">
        <v>1117</v>
      </c>
      <c r="S170" s="11"/>
      <c r="T170" s="6"/>
      <c r="U170" s="28" t="str">
        <f>HYPERLINK("https://media.infra-m.ru/2104/2104845/cover/2104845.jpg", "Обложка")</f>
        <v>Обложка</v>
      </c>
      <c r="V170" s="28" t="str">
        <f>HYPERLINK("https://znanium.ru/catalog/product/2104845", "Ознакомиться")</f>
        <v>Ознакомиться</v>
      </c>
      <c r="W170" s="8" t="s">
        <v>1105</v>
      </c>
      <c r="X170" s="6"/>
      <c r="Y170" s="6"/>
      <c r="Z170" s="6"/>
      <c r="AA170" s="6" t="s">
        <v>193</v>
      </c>
    </row>
    <row r="171" spans="1:27" s="4" customFormat="1" ht="42" customHeight="1">
      <c r="A171" s="5">
        <v>0</v>
      </c>
      <c r="B171" s="6" t="s">
        <v>1180</v>
      </c>
      <c r="C171" s="7">
        <v>1330</v>
      </c>
      <c r="D171" s="8" t="s">
        <v>1181</v>
      </c>
      <c r="E171" s="8" t="s">
        <v>1182</v>
      </c>
      <c r="F171" s="8" t="s">
        <v>1183</v>
      </c>
      <c r="G171" s="6" t="s">
        <v>83</v>
      </c>
      <c r="H171" s="6" t="s">
        <v>470</v>
      </c>
      <c r="I171" s="8" t="s">
        <v>1184</v>
      </c>
      <c r="J171" s="9">
        <v>1</v>
      </c>
      <c r="K171" s="9">
        <v>296</v>
      </c>
      <c r="L171" s="9">
        <v>2023</v>
      </c>
      <c r="M171" s="8" t="s">
        <v>1185</v>
      </c>
      <c r="N171" s="8" t="s">
        <v>41</v>
      </c>
      <c r="O171" s="8" t="s">
        <v>54</v>
      </c>
      <c r="P171" s="6" t="s">
        <v>43</v>
      </c>
      <c r="Q171" s="8" t="s">
        <v>44</v>
      </c>
      <c r="R171" s="10" t="s">
        <v>1186</v>
      </c>
      <c r="S171" s="11"/>
      <c r="T171" s="6"/>
      <c r="U171" s="28" t="str">
        <f>HYPERLINK("https://media.infra-m.ru/1914/1914075/cover/1914075.jpg", "Обложка")</f>
        <v>Обложка</v>
      </c>
      <c r="V171" s="28" t="str">
        <f>HYPERLINK("https://znanium.ru/catalog/product/1914075", "Ознакомиться")</f>
        <v>Ознакомиться</v>
      </c>
      <c r="W171" s="8" t="s">
        <v>149</v>
      </c>
      <c r="X171" s="6"/>
      <c r="Y171" s="6"/>
      <c r="Z171" s="6"/>
      <c r="AA171" s="6" t="s">
        <v>650</v>
      </c>
    </row>
    <row r="172" spans="1:27" s="4" customFormat="1" ht="44.1" customHeight="1">
      <c r="A172" s="5">
        <v>0</v>
      </c>
      <c r="B172" s="6" t="s">
        <v>1187</v>
      </c>
      <c r="C172" s="13">
        <v>980</v>
      </c>
      <c r="D172" s="8" t="s">
        <v>1188</v>
      </c>
      <c r="E172" s="8" t="s">
        <v>1189</v>
      </c>
      <c r="F172" s="8" t="s">
        <v>1190</v>
      </c>
      <c r="G172" s="6" t="s">
        <v>83</v>
      </c>
      <c r="H172" s="6" t="s">
        <v>38</v>
      </c>
      <c r="I172" s="8" t="s">
        <v>164</v>
      </c>
      <c r="J172" s="9">
        <v>1</v>
      </c>
      <c r="K172" s="9">
        <v>212</v>
      </c>
      <c r="L172" s="9">
        <v>2023</v>
      </c>
      <c r="M172" s="8" t="s">
        <v>1191</v>
      </c>
      <c r="N172" s="8" t="s">
        <v>74</v>
      </c>
      <c r="O172" s="8" t="s">
        <v>75</v>
      </c>
      <c r="P172" s="6" t="s">
        <v>55</v>
      </c>
      <c r="Q172" s="8" t="s">
        <v>56</v>
      </c>
      <c r="R172" s="10" t="s">
        <v>1192</v>
      </c>
      <c r="S172" s="11"/>
      <c r="T172" s="6"/>
      <c r="U172" s="28" t="str">
        <f>HYPERLINK("https://media.infra-m.ru/2126/2126640/cover/2126640.jpg", "Обложка")</f>
        <v>Обложка</v>
      </c>
      <c r="V172" s="28" t="str">
        <f>HYPERLINK("https://znanium.ru/catalog/product/2126640", "Ознакомиться")</f>
        <v>Ознакомиться</v>
      </c>
      <c r="W172" s="8" t="s">
        <v>273</v>
      </c>
      <c r="X172" s="6"/>
      <c r="Y172" s="6" t="s">
        <v>30</v>
      </c>
      <c r="Z172" s="6"/>
      <c r="AA172" s="6" t="s">
        <v>96</v>
      </c>
    </row>
    <row r="173" spans="1:27" s="4" customFormat="1" ht="51.95" customHeight="1">
      <c r="A173" s="5">
        <v>0</v>
      </c>
      <c r="B173" s="6" t="s">
        <v>1193</v>
      </c>
      <c r="C173" s="7">
        <v>1330</v>
      </c>
      <c r="D173" s="8" t="s">
        <v>1194</v>
      </c>
      <c r="E173" s="8" t="s">
        <v>1195</v>
      </c>
      <c r="F173" s="8" t="s">
        <v>1196</v>
      </c>
      <c r="G173" s="6" t="s">
        <v>83</v>
      </c>
      <c r="H173" s="6" t="s">
        <v>38</v>
      </c>
      <c r="I173" s="8" t="s">
        <v>155</v>
      </c>
      <c r="J173" s="9">
        <v>1</v>
      </c>
      <c r="K173" s="9">
        <v>283</v>
      </c>
      <c r="L173" s="9">
        <v>2023</v>
      </c>
      <c r="M173" s="8" t="s">
        <v>1197</v>
      </c>
      <c r="N173" s="8" t="s">
        <v>41</v>
      </c>
      <c r="O173" s="8" t="s">
        <v>42</v>
      </c>
      <c r="P173" s="6" t="s">
        <v>55</v>
      </c>
      <c r="Q173" s="8" t="s">
        <v>177</v>
      </c>
      <c r="R173" s="10" t="s">
        <v>1198</v>
      </c>
      <c r="S173" s="11" t="s">
        <v>1199</v>
      </c>
      <c r="T173" s="6"/>
      <c r="U173" s="28" t="str">
        <f>HYPERLINK("https://media.infra-m.ru/2017/2017311/cover/2017311.jpg", "Обложка")</f>
        <v>Обложка</v>
      </c>
      <c r="V173" s="28" t="str">
        <f>HYPERLINK("https://znanium.ru/catalog/product/2017311", "Ознакомиться")</f>
        <v>Ознакомиться</v>
      </c>
      <c r="W173" s="8" t="s">
        <v>1200</v>
      </c>
      <c r="X173" s="6"/>
      <c r="Y173" s="6"/>
      <c r="Z173" s="6"/>
      <c r="AA173" s="6" t="s">
        <v>193</v>
      </c>
    </row>
    <row r="174" spans="1:27" s="4" customFormat="1" ht="51.95" customHeight="1">
      <c r="A174" s="5">
        <v>0</v>
      </c>
      <c r="B174" s="6" t="s">
        <v>1201</v>
      </c>
      <c r="C174" s="7">
        <v>1110</v>
      </c>
      <c r="D174" s="8" t="s">
        <v>1202</v>
      </c>
      <c r="E174" s="8" t="s">
        <v>1203</v>
      </c>
      <c r="F174" s="8" t="s">
        <v>1204</v>
      </c>
      <c r="G174" s="6" t="s">
        <v>83</v>
      </c>
      <c r="H174" s="6" t="s">
        <v>38</v>
      </c>
      <c r="I174" s="8" t="s">
        <v>39</v>
      </c>
      <c r="J174" s="9">
        <v>1</v>
      </c>
      <c r="K174" s="9">
        <v>323</v>
      </c>
      <c r="L174" s="9">
        <v>2019</v>
      </c>
      <c r="M174" s="8" t="s">
        <v>1205</v>
      </c>
      <c r="N174" s="8" t="s">
        <v>41</v>
      </c>
      <c r="O174" s="8" t="s">
        <v>42</v>
      </c>
      <c r="P174" s="6" t="s">
        <v>43</v>
      </c>
      <c r="Q174" s="8" t="s">
        <v>44</v>
      </c>
      <c r="R174" s="10" t="s">
        <v>1206</v>
      </c>
      <c r="S174" s="11"/>
      <c r="T174" s="6"/>
      <c r="U174" s="28" t="str">
        <f>HYPERLINK("https://media.infra-m.ru/1027/1027503/cover/1027503.jpg", "Обложка")</f>
        <v>Обложка</v>
      </c>
      <c r="V174" s="28" t="str">
        <f>HYPERLINK("https://znanium.ru/catalog/product/972350", "Ознакомиться")</f>
        <v>Ознакомиться</v>
      </c>
      <c r="W174" s="8" t="s">
        <v>557</v>
      </c>
      <c r="X174" s="6"/>
      <c r="Y174" s="6"/>
      <c r="Z174" s="6"/>
      <c r="AA174" s="6" t="s">
        <v>78</v>
      </c>
    </row>
    <row r="175" spans="1:27" s="4" customFormat="1" ht="51.95" customHeight="1">
      <c r="A175" s="5">
        <v>0</v>
      </c>
      <c r="B175" s="6" t="s">
        <v>1207</v>
      </c>
      <c r="C175" s="7">
        <v>1090</v>
      </c>
      <c r="D175" s="8" t="s">
        <v>1208</v>
      </c>
      <c r="E175" s="8" t="s">
        <v>1209</v>
      </c>
      <c r="F175" s="8" t="s">
        <v>1102</v>
      </c>
      <c r="G175" s="6" t="s">
        <v>83</v>
      </c>
      <c r="H175" s="6" t="s">
        <v>38</v>
      </c>
      <c r="I175" s="8" t="s">
        <v>39</v>
      </c>
      <c r="J175" s="9">
        <v>1</v>
      </c>
      <c r="K175" s="9">
        <v>243</v>
      </c>
      <c r="L175" s="9">
        <v>2023</v>
      </c>
      <c r="M175" s="8" t="s">
        <v>1210</v>
      </c>
      <c r="N175" s="8" t="s">
        <v>41</v>
      </c>
      <c r="O175" s="8" t="s">
        <v>65</v>
      </c>
      <c r="P175" s="6" t="s">
        <v>43</v>
      </c>
      <c r="Q175" s="8" t="s">
        <v>44</v>
      </c>
      <c r="R175" s="10" t="s">
        <v>1211</v>
      </c>
      <c r="S175" s="11"/>
      <c r="T175" s="6"/>
      <c r="U175" s="28" t="str">
        <f>HYPERLINK("https://media.infra-m.ru/1896/1896426/cover/1896426.jpg", "Обложка")</f>
        <v>Обложка</v>
      </c>
      <c r="V175" s="28" t="str">
        <f>HYPERLINK("https://znanium.ru/catalog/product/1896426", "Ознакомиться")</f>
        <v>Ознакомиться</v>
      </c>
      <c r="W175" s="8" t="s">
        <v>1105</v>
      </c>
      <c r="X175" s="6"/>
      <c r="Y175" s="6"/>
      <c r="Z175" s="6"/>
      <c r="AA175" s="6" t="s">
        <v>141</v>
      </c>
    </row>
    <row r="176" spans="1:27" s="4" customFormat="1" ht="42" customHeight="1">
      <c r="A176" s="5">
        <v>0</v>
      </c>
      <c r="B176" s="6" t="s">
        <v>1212</v>
      </c>
      <c r="C176" s="13">
        <v>534</v>
      </c>
      <c r="D176" s="8" t="s">
        <v>1213</v>
      </c>
      <c r="E176" s="8" t="s">
        <v>1214</v>
      </c>
      <c r="F176" s="8" t="s">
        <v>1215</v>
      </c>
      <c r="G176" s="6" t="s">
        <v>37</v>
      </c>
      <c r="H176" s="6" t="s">
        <v>618</v>
      </c>
      <c r="I176" s="8"/>
      <c r="J176" s="9">
        <v>1</v>
      </c>
      <c r="K176" s="9">
        <v>112</v>
      </c>
      <c r="L176" s="9">
        <v>2024</v>
      </c>
      <c r="M176" s="8" t="s">
        <v>1216</v>
      </c>
      <c r="N176" s="8" t="s">
        <v>74</v>
      </c>
      <c r="O176" s="8" t="s">
        <v>93</v>
      </c>
      <c r="P176" s="6" t="s">
        <v>43</v>
      </c>
      <c r="Q176" s="8" t="s">
        <v>44</v>
      </c>
      <c r="R176" s="10" t="s">
        <v>1054</v>
      </c>
      <c r="S176" s="11"/>
      <c r="T176" s="6"/>
      <c r="U176" s="28" t="str">
        <f>HYPERLINK("https://media.infra-m.ru/2137/2137088/cover/2137088.jpg", "Обложка")</f>
        <v>Обложка</v>
      </c>
      <c r="V176" s="28" t="str">
        <f>HYPERLINK("https://znanium.ru/catalog/product/1062808", "Ознакомиться")</f>
        <v>Ознакомиться</v>
      </c>
      <c r="W176" s="8" t="s">
        <v>416</v>
      </c>
      <c r="X176" s="6"/>
      <c r="Y176" s="6"/>
      <c r="Z176" s="6"/>
      <c r="AA176" s="6" t="s">
        <v>1217</v>
      </c>
    </row>
    <row r="177" spans="1:27" s="4" customFormat="1" ht="51.95" customHeight="1">
      <c r="A177" s="5">
        <v>0</v>
      </c>
      <c r="B177" s="6" t="s">
        <v>1218</v>
      </c>
      <c r="C177" s="7">
        <v>1194.9000000000001</v>
      </c>
      <c r="D177" s="8" t="s">
        <v>1219</v>
      </c>
      <c r="E177" s="8" t="s">
        <v>1220</v>
      </c>
      <c r="F177" s="8" t="s">
        <v>1221</v>
      </c>
      <c r="G177" s="6" t="s">
        <v>83</v>
      </c>
      <c r="H177" s="6" t="s">
        <v>470</v>
      </c>
      <c r="I177" s="8" t="s">
        <v>470</v>
      </c>
      <c r="J177" s="9">
        <v>1</v>
      </c>
      <c r="K177" s="9">
        <v>264</v>
      </c>
      <c r="L177" s="9">
        <v>2023</v>
      </c>
      <c r="M177" s="8" t="s">
        <v>1222</v>
      </c>
      <c r="N177" s="8" t="s">
        <v>74</v>
      </c>
      <c r="O177" s="8" t="s">
        <v>109</v>
      </c>
      <c r="P177" s="6" t="s">
        <v>176</v>
      </c>
      <c r="Q177" s="8" t="s">
        <v>56</v>
      </c>
      <c r="R177" s="10" t="s">
        <v>1223</v>
      </c>
      <c r="S177" s="11"/>
      <c r="T177" s="6"/>
      <c r="U177" s="28" t="str">
        <f>HYPERLINK("https://media.infra-m.ru/1903/1903985/cover/1903985.jpg", "Обложка")</f>
        <v>Обложка</v>
      </c>
      <c r="V177" s="28" t="str">
        <f>HYPERLINK("https://znanium.ru/catalog/product/1903882", "Ознакомиться")</f>
        <v>Ознакомиться</v>
      </c>
      <c r="W177" s="8" t="s">
        <v>441</v>
      </c>
      <c r="X177" s="6"/>
      <c r="Y177" s="6"/>
      <c r="Z177" s="6"/>
      <c r="AA177" s="6" t="s">
        <v>59</v>
      </c>
    </row>
    <row r="178" spans="1:27" s="4" customFormat="1" ht="51.95" customHeight="1">
      <c r="A178" s="5">
        <v>0</v>
      </c>
      <c r="B178" s="6" t="s">
        <v>1224</v>
      </c>
      <c r="C178" s="7">
        <v>1430</v>
      </c>
      <c r="D178" s="8" t="s">
        <v>1225</v>
      </c>
      <c r="E178" s="8" t="s">
        <v>1226</v>
      </c>
      <c r="F178" s="8" t="s">
        <v>1227</v>
      </c>
      <c r="G178" s="6" t="s">
        <v>83</v>
      </c>
      <c r="H178" s="6" t="s">
        <v>38</v>
      </c>
      <c r="I178" s="8" t="s">
        <v>155</v>
      </c>
      <c r="J178" s="9">
        <v>1</v>
      </c>
      <c r="K178" s="9">
        <v>309</v>
      </c>
      <c r="L178" s="9">
        <v>2023</v>
      </c>
      <c r="M178" s="8" t="s">
        <v>1228</v>
      </c>
      <c r="N178" s="8" t="s">
        <v>74</v>
      </c>
      <c r="O178" s="8" t="s">
        <v>109</v>
      </c>
      <c r="P178" s="6" t="s">
        <v>55</v>
      </c>
      <c r="Q178" s="8" t="s">
        <v>56</v>
      </c>
      <c r="R178" s="10" t="s">
        <v>1229</v>
      </c>
      <c r="S178" s="11" t="s">
        <v>1230</v>
      </c>
      <c r="T178" s="6"/>
      <c r="U178" s="28" t="str">
        <f>HYPERLINK("https://media.infra-m.ru/2122/2122431/cover/2122431.jpg", "Обложка")</f>
        <v>Обложка</v>
      </c>
      <c r="V178" s="28" t="str">
        <f>HYPERLINK("https://znanium.ru/catalog/product/2117637", "Ознакомиться")</f>
        <v>Ознакомиться</v>
      </c>
      <c r="W178" s="8" t="s">
        <v>1231</v>
      </c>
      <c r="X178" s="6"/>
      <c r="Y178" s="6"/>
      <c r="Z178" s="6"/>
      <c r="AA178" s="6" t="s">
        <v>193</v>
      </c>
    </row>
    <row r="179" spans="1:27" s="4" customFormat="1" ht="42" customHeight="1">
      <c r="A179" s="5">
        <v>0</v>
      </c>
      <c r="B179" s="6" t="s">
        <v>1232</v>
      </c>
      <c r="C179" s="13">
        <v>890</v>
      </c>
      <c r="D179" s="8" t="s">
        <v>1233</v>
      </c>
      <c r="E179" s="8" t="s">
        <v>1234</v>
      </c>
      <c r="F179" s="8" t="s">
        <v>1102</v>
      </c>
      <c r="G179" s="6" t="s">
        <v>37</v>
      </c>
      <c r="H179" s="6" t="s">
        <v>38</v>
      </c>
      <c r="I179" s="8" t="s">
        <v>39</v>
      </c>
      <c r="J179" s="9">
        <v>1</v>
      </c>
      <c r="K179" s="9">
        <v>198</v>
      </c>
      <c r="L179" s="9">
        <v>2023</v>
      </c>
      <c r="M179" s="8" t="s">
        <v>1235</v>
      </c>
      <c r="N179" s="8" t="s">
        <v>41</v>
      </c>
      <c r="O179" s="8" t="s">
        <v>65</v>
      </c>
      <c r="P179" s="6" t="s">
        <v>43</v>
      </c>
      <c r="Q179" s="8" t="s">
        <v>44</v>
      </c>
      <c r="R179" s="10" t="s">
        <v>1236</v>
      </c>
      <c r="S179" s="11"/>
      <c r="T179" s="6"/>
      <c r="U179" s="28" t="str">
        <f>HYPERLINK("https://media.infra-m.ru/1922/1922248/cover/1922248.jpg", "Обложка")</f>
        <v>Обложка</v>
      </c>
      <c r="V179" s="28" t="str">
        <f>HYPERLINK("https://znanium.ru/catalog/product/1922248", "Ознакомиться")</f>
        <v>Ознакомиться</v>
      </c>
      <c r="W179" s="8" t="s">
        <v>1105</v>
      </c>
      <c r="X179" s="6"/>
      <c r="Y179" s="6"/>
      <c r="Z179" s="6"/>
      <c r="AA179" s="6" t="s">
        <v>141</v>
      </c>
    </row>
    <row r="180" spans="1:27" s="4" customFormat="1" ht="51.95" customHeight="1">
      <c r="A180" s="5">
        <v>0</v>
      </c>
      <c r="B180" s="6" t="s">
        <v>1237</v>
      </c>
      <c r="C180" s="7">
        <v>1730</v>
      </c>
      <c r="D180" s="8" t="s">
        <v>1238</v>
      </c>
      <c r="E180" s="8" t="s">
        <v>1239</v>
      </c>
      <c r="F180" s="8" t="s">
        <v>1102</v>
      </c>
      <c r="G180" s="6" t="s">
        <v>123</v>
      </c>
      <c r="H180" s="6" t="s">
        <v>38</v>
      </c>
      <c r="I180" s="8" t="s">
        <v>155</v>
      </c>
      <c r="J180" s="9">
        <v>1</v>
      </c>
      <c r="K180" s="9">
        <v>366</v>
      </c>
      <c r="L180" s="9">
        <v>2024</v>
      </c>
      <c r="M180" s="8" t="s">
        <v>1240</v>
      </c>
      <c r="N180" s="8" t="s">
        <v>41</v>
      </c>
      <c r="O180" s="8" t="s">
        <v>65</v>
      </c>
      <c r="P180" s="6" t="s">
        <v>176</v>
      </c>
      <c r="Q180" s="8" t="s">
        <v>177</v>
      </c>
      <c r="R180" s="10" t="s">
        <v>1241</v>
      </c>
      <c r="S180" s="11"/>
      <c r="T180" s="6"/>
      <c r="U180" s="28" t="str">
        <f>HYPERLINK("https://media.infra-m.ru/2133/2133667/cover/2133667.jpg", "Обложка")</f>
        <v>Обложка</v>
      </c>
      <c r="V180" s="28" t="str">
        <f>HYPERLINK("https://znanium.ru/catalog/product/2133667", "Ознакомиться")</f>
        <v>Ознакомиться</v>
      </c>
      <c r="W180" s="8" t="s">
        <v>1105</v>
      </c>
      <c r="X180" s="6" t="s">
        <v>1242</v>
      </c>
      <c r="Y180" s="6"/>
      <c r="Z180" s="6"/>
      <c r="AA180" s="6" t="s">
        <v>180</v>
      </c>
    </row>
    <row r="181" spans="1:27" s="4" customFormat="1" ht="44.1" customHeight="1">
      <c r="A181" s="5">
        <v>0</v>
      </c>
      <c r="B181" s="6" t="s">
        <v>1243</v>
      </c>
      <c r="C181" s="7">
        <v>2180</v>
      </c>
      <c r="D181" s="8" t="s">
        <v>1244</v>
      </c>
      <c r="E181" s="8" t="s">
        <v>1245</v>
      </c>
      <c r="F181" s="8" t="s">
        <v>1246</v>
      </c>
      <c r="G181" s="6" t="s">
        <v>123</v>
      </c>
      <c r="H181" s="6" t="s">
        <v>38</v>
      </c>
      <c r="I181" s="8" t="s">
        <v>155</v>
      </c>
      <c r="J181" s="9">
        <v>1</v>
      </c>
      <c r="K181" s="9">
        <v>463</v>
      </c>
      <c r="L181" s="9">
        <v>2024</v>
      </c>
      <c r="M181" s="8" t="s">
        <v>1247</v>
      </c>
      <c r="N181" s="8" t="s">
        <v>41</v>
      </c>
      <c r="O181" s="8" t="s">
        <v>65</v>
      </c>
      <c r="P181" s="6" t="s">
        <v>176</v>
      </c>
      <c r="Q181" s="8" t="s">
        <v>177</v>
      </c>
      <c r="R181" s="10" t="s">
        <v>1248</v>
      </c>
      <c r="S181" s="11"/>
      <c r="T181" s="6"/>
      <c r="U181" s="28" t="str">
        <f>HYPERLINK("https://media.infra-m.ru/1938/1938063/cover/1938063.jpg", "Обложка")</f>
        <v>Обложка</v>
      </c>
      <c r="V181" s="28" t="str">
        <f>HYPERLINK("https://znanium.ru/catalog/product/1938063", "Ознакомиться")</f>
        <v>Ознакомиться</v>
      </c>
      <c r="W181" s="8" t="s">
        <v>363</v>
      </c>
      <c r="X181" s="6" t="s">
        <v>734</v>
      </c>
      <c r="Y181" s="6"/>
      <c r="Z181" s="6"/>
      <c r="AA181" s="6" t="s">
        <v>1249</v>
      </c>
    </row>
    <row r="182" spans="1:27" s="4" customFormat="1" ht="51.95" customHeight="1">
      <c r="A182" s="5">
        <v>0</v>
      </c>
      <c r="B182" s="6" t="s">
        <v>1250</v>
      </c>
      <c r="C182" s="7">
        <v>1204.9000000000001</v>
      </c>
      <c r="D182" s="8" t="s">
        <v>1251</v>
      </c>
      <c r="E182" s="8" t="s">
        <v>1252</v>
      </c>
      <c r="F182" s="8" t="s">
        <v>1253</v>
      </c>
      <c r="G182" s="6" t="s">
        <v>37</v>
      </c>
      <c r="H182" s="6" t="s">
        <v>470</v>
      </c>
      <c r="I182" s="8"/>
      <c r="J182" s="9">
        <v>1</v>
      </c>
      <c r="K182" s="9">
        <v>445</v>
      </c>
      <c r="L182" s="9">
        <v>2018</v>
      </c>
      <c r="M182" s="8" t="s">
        <v>1254</v>
      </c>
      <c r="N182" s="8" t="s">
        <v>41</v>
      </c>
      <c r="O182" s="8" t="s">
        <v>65</v>
      </c>
      <c r="P182" s="6" t="s">
        <v>55</v>
      </c>
      <c r="Q182" s="8" t="s">
        <v>56</v>
      </c>
      <c r="R182" s="10" t="s">
        <v>1255</v>
      </c>
      <c r="S182" s="11" t="s">
        <v>1256</v>
      </c>
      <c r="T182" s="6"/>
      <c r="U182" s="28" t="str">
        <f>HYPERLINK("https://media.infra-m.ru/0898/0898778/cover/898778.jpg", "Обложка")</f>
        <v>Обложка</v>
      </c>
      <c r="V182" s="28" t="str">
        <f>HYPERLINK("https://znanium.ru/catalog/product/2023168", "Ознакомиться")</f>
        <v>Ознакомиться</v>
      </c>
      <c r="W182" s="8" t="s">
        <v>247</v>
      </c>
      <c r="X182" s="6"/>
      <c r="Y182" s="6"/>
      <c r="Z182" s="6"/>
      <c r="AA182" s="6" t="s">
        <v>274</v>
      </c>
    </row>
    <row r="183" spans="1:27" s="4" customFormat="1" ht="51.95" customHeight="1">
      <c r="A183" s="5">
        <v>0</v>
      </c>
      <c r="B183" s="6" t="s">
        <v>1257</v>
      </c>
      <c r="C183" s="7">
        <v>2130</v>
      </c>
      <c r="D183" s="8" t="s">
        <v>1258</v>
      </c>
      <c r="E183" s="8" t="s">
        <v>1259</v>
      </c>
      <c r="F183" s="8" t="s">
        <v>1253</v>
      </c>
      <c r="G183" s="6" t="s">
        <v>123</v>
      </c>
      <c r="H183" s="6" t="s">
        <v>470</v>
      </c>
      <c r="I183" s="8"/>
      <c r="J183" s="9">
        <v>1</v>
      </c>
      <c r="K183" s="9">
        <v>462</v>
      </c>
      <c r="L183" s="9">
        <v>2023</v>
      </c>
      <c r="M183" s="8" t="s">
        <v>1260</v>
      </c>
      <c r="N183" s="8" t="s">
        <v>41</v>
      </c>
      <c r="O183" s="8" t="s">
        <v>65</v>
      </c>
      <c r="P183" s="6" t="s">
        <v>55</v>
      </c>
      <c r="Q183" s="8" t="s">
        <v>56</v>
      </c>
      <c r="R183" s="10" t="s">
        <v>1255</v>
      </c>
      <c r="S183" s="11" t="s">
        <v>1256</v>
      </c>
      <c r="T183" s="6"/>
      <c r="U183" s="28" t="str">
        <f>HYPERLINK("https://media.infra-m.ru/2110/2110925/cover/2110925.jpg", "Обложка")</f>
        <v>Обложка</v>
      </c>
      <c r="V183" s="28" t="str">
        <f>HYPERLINK("https://znanium.ru/catalog/product/2023168", "Ознакомиться")</f>
        <v>Ознакомиться</v>
      </c>
      <c r="W183" s="8" t="s">
        <v>247</v>
      </c>
      <c r="X183" s="6"/>
      <c r="Y183" s="6"/>
      <c r="Z183" s="6"/>
      <c r="AA183" s="6" t="s">
        <v>169</v>
      </c>
    </row>
    <row r="184" spans="1:27" s="4" customFormat="1" ht="51.95" customHeight="1">
      <c r="A184" s="5">
        <v>0</v>
      </c>
      <c r="B184" s="6" t="s">
        <v>1261</v>
      </c>
      <c r="C184" s="7">
        <v>2250</v>
      </c>
      <c r="D184" s="8" t="s">
        <v>1262</v>
      </c>
      <c r="E184" s="8" t="s">
        <v>1263</v>
      </c>
      <c r="F184" s="8" t="s">
        <v>1264</v>
      </c>
      <c r="G184" s="6" t="s">
        <v>123</v>
      </c>
      <c r="H184" s="6" t="s">
        <v>38</v>
      </c>
      <c r="I184" s="8" t="s">
        <v>155</v>
      </c>
      <c r="J184" s="9">
        <v>1</v>
      </c>
      <c r="K184" s="9">
        <v>490</v>
      </c>
      <c r="L184" s="9">
        <v>2024</v>
      </c>
      <c r="M184" s="8" t="s">
        <v>1265</v>
      </c>
      <c r="N184" s="8" t="s">
        <v>41</v>
      </c>
      <c r="O184" s="8" t="s">
        <v>65</v>
      </c>
      <c r="P184" s="6" t="s">
        <v>55</v>
      </c>
      <c r="Q184" s="8" t="s">
        <v>56</v>
      </c>
      <c r="R184" s="10" t="s">
        <v>1266</v>
      </c>
      <c r="S184" s="11" t="s">
        <v>1267</v>
      </c>
      <c r="T184" s="6"/>
      <c r="U184" s="28" t="str">
        <f>HYPERLINK("https://media.infra-m.ru/2130/2130796/cover/2130796.jpg", "Обложка")</f>
        <v>Обложка</v>
      </c>
      <c r="V184" s="28" t="str">
        <f>HYPERLINK("https://znanium.ru/catalog/product/2130796", "Ознакомиться")</f>
        <v>Ознакомиться</v>
      </c>
      <c r="W184" s="8" t="s">
        <v>1268</v>
      </c>
      <c r="X184" s="6"/>
      <c r="Y184" s="6"/>
      <c r="Z184" s="6"/>
      <c r="AA184" s="6" t="s">
        <v>306</v>
      </c>
    </row>
    <row r="185" spans="1:27" s="4" customFormat="1" ht="44.1" customHeight="1">
      <c r="A185" s="5">
        <v>0</v>
      </c>
      <c r="B185" s="6" t="s">
        <v>1269</v>
      </c>
      <c r="C185" s="7">
        <v>1600</v>
      </c>
      <c r="D185" s="8" t="s">
        <v>1270</v>
      </c>
      <c r="E185" s="8" t="s">
        <v>1271</v>
      </c>
      <c r="F185" s="8" t="s">
        <v>1246</v>
      </c>
      <c r="G185" s="6" t="s">
        <v>123</v>
      </c>
      <c r="H185" s="6" t="s">
        <v>38</v>
      </c>
      <c r="I185" s="8" t="s">
        <v>155</v>
      </c>
      <c r="J185" s="9">
        <v>1</v>
      </c>
      <c r="K185" s="9">
        <v>327</v>
      </c>
      <c r="L185" s="9">
        <v>2024</v>
      </c>
      <c r="M185" s="8" t="s">
        <v>1272</v>
      </c>
      <c r="N185" s="8" t="s">
        <v>41</v>
      </c>
      <c r="O185" s="8" t="s">
        <v>65</v>
      </c>
      <c r="P185" s="6" t="s">
        <v>176</v>
      </c>
      <c r="Q185" s="8" t="s">
        <v>177</v>
      </c>
      <c r="R185" s="10" t="s">
        <v>1248</v>
      </c>
      <c r="S185" s="11"/>
      <c r="T185" s="6"/>
      <c r="U185" s="28" t="str">
        <f>HYPERLINK("https://media.infra-m.ru/1946/1946247/cover/1946247.jpg", "Обложка")</f>
        <v>Обложка</v>
      </c>
      <c r="V185" s="28" t="str">
        <f>HYPERLINK("https://znanium.ru/catalog/product/1946247", "Ознакомиться")</f>
        <v>Ознакомиться</v>
      </c>
      <c r="W185" s="8" t="s">
        <v>363</v>
      </c>
      <c r="X185" s="6" t="s">
        <v>1242</v>
      </c>
      <c r="Y185" s="6"/>
      <c r="Z185" s="6"/>
      <c r="AA185" s="6" t="s">
        <v>1249</v>
      </c>
    </row>
    <row r="186" spans="1:27" s="4" customFormat="1" ht="51.95" customHeight="1">
      <c r="A186" s="5">
        <v>0</v>
      </c>
      <c r="B186" s="6" t="s">
        <v>1273</v>
      </c>
      <c r="C186" s="7">
        <v>1570</v>
      </c>
      <c r="D186" s="8" t="s">
        <v>1274</v>
      </c>
      <c r="E186" s="8" t="s">
        <v>1275</v>
      </c>
      <c r="F186" s="8" t="s">
        <v>1102</v>
      </c>
      <c r="G186" s="6" t="s">
        <v>37</v>
      </c>
      <c r="H186" s="6" t="s">
        <v>38</v>
      </c>
      <c r="I186" s="8" t="s">
        <v>39</v>
      </c>
      <c r="J186" s="9">
        <v>1</v>
      </c>
      <c r="K186" s="9">
        <v>340</v>
      </c>
      <c r="L186" s="9">
        <v>2024</v>
      </c>
      <c r="M186" s="8" t="s">
        <v>1276</v>
      </c>
      <c r="N186" s="8" t="s">
        <v>41</v>
      </c>
      <c r="O186" s="8" t="s">
        <v>65</v>
      </c>
      <c r="P186" s="6" t="s">
        <v>43</v>
      </c>
      <c r="Q186" s="8" t="s">
        <v>44</v>
      </c>
      <c r="R186" s="10" t="s">
        <v>1277</v>
      </c>
      <c r="S186" s="11"/>
      <c r="T186" s="6"/>
      <c r="U186" s="28" t="str">
        <f>HYPERLINK("https://media.infra-m.ru/2125/2125928/cover/2125928.jpg", "Обложка")</f>
        <v>Обложка</v>
      </c>
      <c r="V186" s="28" t="str">
        <f>HYPERLINK("https://znanium.ru/catalog/product/2125928", "Ознакомиться")</f>
        <v>Ознакомиться</v>
      </c>
      <c r="W186" s="8" t="s">
        <v>1105</v>
      </c>
      <c r="X186" s="6"/>
      <c r="Y186" s="6"/>
      <c r="Z186" s="6"/>
      <c r="AA186" s="6" t="s">
        <v>193</v>
      </c>
    </row>
    <row r="187" spans="1:27" s="4" customFormat="1" ht="51.95" customHeight="1">
      <c r="A187" s="5">
        <v>0</v>
      </c>
      <c r="B187" s="6" t="s">
        <v>1278</v>
      </c>
      <c r="C187" s="7">
        <v>1074</v>
      </c>
      <c r="D187" s="8" t="s">
        <v>1279</v>
      </c>
      <c r="E187" s="8" t="s">
        <v>1280</v>
      </c>
      <c r="F187" s="8" t="s">
        <v>1102</v>
      </c>
      <c r="G187" s="6" t="s">
        <v>37</v>
      </c>
      <c r="H187" s="6" t="s">
        <v>38</v>
      </c>
      <c r="I187" s="8" t="s">
        <v>39</v>
      </c>
      <c r="J187" s="9">
        <v>1</v>
      </c>
      <c r="K187" s="9">
        <v>229</v>
      </c>
      <c r="L187" s="9">
        <v>2024</v>
      </c>
      <c r="M187" s="8" t="s">
        <v>1281</v>
      </c>
      <c r="N187" s="8" t="s">
        <v>41</v>
      </c>
      <c r="O187" s="8" t="s">
        <v>65</v>
      </c>
      <c r="P187" s="6" t="s">
        <v>43</v>
      </c>
      <c r="Q187" s="8" t="s">
        <v>44</v>
      </c>
      <c r="R187" s="10" t="s">
        <v>1282</v>
      </c>
      <c r="S187" s="11"/>
      <c r="T187" s="6"/>
      <c r="U187" s="28" t="str">
        <f>HYPERLINK("https://media.infra-m.ru/2151/2151392/cover/2151392.jpg", "Обложка")</f>
        <v>Обложка</v>
      </c>
      <c r="V187" s="28" t="str">
        <f>HYPERLINK("https://znanium.ru/catalog/product/2045844", "Ознакомиться")</f>
        <v>Ознакомиться</v>
      </c>
      <c r="W187" s="8" t="s">
        <v>1105</v>
      </c>
      <c r="X187" s="6"/>
      <c r="Y187" s="6"/>
      <c r="Z187" s="6"/>
      <c r="AA187" s="6" t="s">
        <v>78</v>
      </c>
    </row>
    <row r="188" spans="1:27" s="4" customFormat="1" ht="51.95" customHeight="1">
      <c r="A188" s="5">
        <v>0</v>
      </c>
      <c r="B188" s="6" t="s">
        <v>1283</v>
      </c>
      <c r="C188" s="7">
        <v>1070</v>
      </c>
      <c r="D188" s="8" t="s">
        <v>1284</v>
      </c>
      <c r="E188" s="8" t="s">
        <v>1285</v>
      </c>
      <c r="F188" s="8" t="s">
        <v>1102</v>
      </c>
      <c r="G188" s="6" t="s">
        <v>83</v>
      </c>
      <c r="H188" s="6" t="s">
        <v>38</v>
      </c>
      <c r="I188" s="8" t="s">
        <v>39</v>
      </c>
      <c r="J188" s="9">
        <v>1</v>
      </c>
      <c r="K188" s="9">
        <v>281</v>
      </c>
      <c r="L188" s="9">
        <v>2021</v>
      </c>
      <c r="M188" s="8" t="s">
        <v>1286</v>
      </c>
      <c r="N188" s="8" t="s">
        <v>41</v>
      </c>
      <c r="O188" s="8" t="s">
        <v>65</v>
      </c>
      <c r="P188" s="6" t="s">
        <v>43</v>
      </c>
      <c r="Q188" s="8" t="s">
        <v>44</v>
      </c>
      <c r="R188" s="10" t="s">
        <v>1287</v>
      </c>
      <c r="S188" s="11"/>
      <c r="T188" s="6"/>
      <c r="U188" s="28" t="str">
        <f>HYPERLINK("https://media.infra-m.ru/1680/1680620/cover/1680620.jpg", "Обложка")</f>
        <v>Обложка</v>
      </c>
      <c r="V188" s="28" t="str">
        <f>HYPERLINK("https://znanium.ru/catalog/product/1680620", "Ознакомиться")</f>
        <v>Ознакомиться</v>
      </c>
      <c r="W188" s="8" t="s">
        <v>1105</v>
      </c>
      <c r="X188" s="6"/>
      <c r="Y188" s="6"/>
      <c r="Z188" s="6"/>
      <c r="AA188" s="6" t="s">
        <v>364</v>
      </c>
    </row>
    <row r="189" spans="1:27" s="4" customFormat="1" ht="42" customHeight="1">
      <c r="A189" s="5">
        <v>0</v>
      </c>
      <c r="B189" s="6" t="s">
        <v>1288</v>
      </c>
      <c r="C189" s="7">
        <v>2700</v>
      </c>
      <c r="D189" s="8" t="s">
        <v>1289</v>
      </c>
      <c r="E189" s="8" t="s">
        <v>1290</v>
      </c>
      <c r="F189" s="8" t="s">
        <v>1291</v>
      </c>
      <c r="G189" s="6" t="s">
        <v>83</v>
      </c>
      <c r="H189" s="6" t="s">
        <v>38</v>
      </c>
      <c r="I189" s="8" t="s">
        <v>39</v>
      </c>
      <c r="J189" s="9">
        <v>1</v>
      </c>
      <c r="K189" s="9">
        <v>591</v>
      </c>
      <c r="L189" s="9">
        <v>2023</v>
      </c>
      <c r="M189" s="8" t="s">
        <v>1292</v>
      </c>
      <c r="N189" s="8" t="s">
        <v>41</v>
      </c>
      <c r="O189" s="8" t="s">
        <v>65</v>
      </c>
      <c r="P189" s="6" t="s">
        <v>43</v>
      </c>
      <c r="Q189" s="8" t="s">
        <v>44</v>
      </c>
      <c r="R189" s="10" t="s">
        <v>1293</v>
      </c>
      <c r="S189" s="11"/>
      <c r="T189" s="6"/>
      <c r="U189" s="28" t="str">
        <f>HYPERLINK("https://media.infra-m.ru/1904/1904342/cover/1904342.jpg", "Обложка")</f>
        <v>Обложка</v>
      </c>
      <c r="V189" s="28" t="str">
        <f>HYPERLINK("https://znanium.ru/catalog/product/1904342", "Ознакомиться")</f>
        <v>Ознакомиться</v>
      </c>
      <c r="W189" s="8" t="s">
        <v>1105</v>
      </c>
      <c r="X189" s="6"/>
      <c r="Y189" s="6"/>
      <c r="Z189" s="6"/>
      <c r="AA189" s="6" t="s">
        <v>47</v>
      </c>
    </row>
    <row r="190" spans="1:27" s="4" customFormat="1" ht="51.95" customHeight="1">
      <c r="A190" s="5">
        <v>0</v>
      </c>
      <c r="B190" s="6" t="s">
        <v>1294</v>
      </c>
      <c r="C190" s="13">
        <v>514.9</v>
      </c>
      <c r="D190" s="8" t="s">
        <v>1295</v>
      </c>
      <c r="E190" s="8" t="s">
        <v>1296</v>
      </c>
      <c r="F190" s="8" t="s">
        <v>1297</v>
      </c>
      <c r="G190" s="6" t="s">
        <v>123</v>
      </c>
      <c r="H190" s="6" t="s">
        <v>725</v>
      </c>
      <c r="I190" s="8"/>
      <c r="J190" s="9">
        <v>1</v>
      </c>
      <c r="K190" s="9">
        <v>176</v>
      </c>
      <c r="L190" s="9">
        <v>2017</v>
      </c>
      <c r="M190" s="8" t="s">
        <v>1298</v>
      </c>
      <c r="N190" s="8" t="s">
        <v>41</v>
      </c>
      <c r="O190" s="8" t="s">
        <v>1299</v>
      </c>
      <c r="P190" s="6" t="s">
        <v>1300</v>
      </c>
      <c r="Q190" s="8" t="s">
        <v>44</v>
      </c>
      <c r="R190" s="10" t="s">
        <v>1301</v>
      </c>
      <c r="S190" s="11"/>
      <c r="T190" s="6"/>
      <c r="U190" s="28" t="str">
        <f>HYPERLINK("https://media.infra-m.ru/0769/0769179/cover/769179.jpg", "Обложка")</f>
        <v>Обложка</v>
      </c>
      <c r="V190" s="28" t="str">
        <f>HYPERLINK("https://znanium.ru/catalog/product/355435", "Ознакомиться")</f>
        <v>Ознакомиться</v>
      </c>
      <c r="W190" s="8" t="s">
        <v>1302</v>
      </c>
      <c r="X190" s="6"/>
      <c r="Y190" s="6"/>
      <c r="Z190" s="6"/>
      <c r="AA190" s="6" t="s">
        <v>96</v>
      </c>
    </row>
    <row r="191" spans="1:27" s="4" customFormat="1" ht="51.95" customHeight="1">
      <c r="A191" s="5">
        <v>0</v>
      </c>
      <c r="B191" s="6" t="s">
        <v>1303</v>
      </c>
      <c r="C191" s="7">
        <v>1164</v>
      </c>
      <c r="D191" s="8" t="s">
        <v>1304</v>
      </c>
      <c r="E191" s="8" t="s">
        <v>1305</v>
      </c>
      <c r="F191" s="8" t="s">
        <v>1306</v>
      </c>
      <c r="G191" s="6" t="s">
        <v>37</v>
      </c>
      <c r="H191" s="6" t="s">
        <v>38</v>
      </c>
      <c r="I191" s="8" t="s">
        <v>39</v>
      </c>
      <c r="J191" s="9">
        <v>1</v>
      </c>
      <c r="K191" s="9">
        <v>253</v>
      </c>
      <c r="L191" s="9">
        <v>2024</v>
      </c>
      <c r="M191" s="8" t="s">
        <v>1307</v>
      </c>
      <c r="N191" s="8" t="s">
        <v>74</v>
      </c>
      <c r="O191" s="8" t="s">
        <v>93</v>
      </c>
      <c r="P191" s="6" t="s">
        <v>43</v>
      </c>
      <c r="Q191" s="8" t="s">
        <v>44</v>
      </c>
      <c r="R191" s="10" t="s">
        <v>1308</v>
      </c>
      <c r="S191" s="11"/>
      <c r="T191" s="6"/>
      <c r="U191" s="28" t="str">
        <f>HYPERLINK("https://media.infra-m.ru/1904/1904231/cover/1904231.jpg", "Обложка")</f>
        <v>Обложка</v>
      </c>
      <c r="V191" s="28" t="str">
        <f>HYPERLINK("https://znanium.ru/catalog/product/1861903", "Ознакомиться")</f>
        <v>Ознакомиться</v>
      </c>
      <c r="W191" s="8" t="s">
        <v>1309</v>
      </c>
      <c r="X191" s="6"/>
      <c r="Y191" s="6"/>
      <c r="Z191" s="6"/>
      <c r="AA191" s="6" t="s">
        <v>193</v>
      </c>
    </row>
    <row r="192" spans="1:27" s="4" customFormat="1" ht="44.1" customHeight="1">
      <c r="A192" s="5">
        <v>0</v>
      </c>
      <c r="B192" s="6" t="s">
        <v>1310</v>
      </c>
      <c r="C192" s="7">
        <v>1210</v>
      </c>
      <c r="D192" s="8" t="s">
        <v>1311</v>
      </c>
      <c r="E192" s="8" t="s">
        <v>1312</v>
      </c>
      <c r="F192" s="8" t="s">
        <v>1313</v>
      </c>
      <c r="G192" s="6" t="s">
        <v>83</v>
      </c>
      <c r="H192" s="6" t="s">
        <v>618</v>
      </c>
      <c r="I192" s="8" t="s">
        <v>1314</v>
      </c>
      <c r="J192" s="9">
        <v>1</v>
      </c>
      <c r="K192" s="9">
        <v>256</v>
      </c>
      <c r="L192" s="9">
        <v>2024</v>
      </c>
      <c r="M192" s="8" t="s">
        <v>1315</v>
      </c>
      <c r="N192" s="8" t="s">
        <v>41</v>
      </c>
      <c r="O192" s="8" t="s">
        <v>65</v>
      </c>
      <c r="P192" s="6" t="s">
        <v>55</v>
      </c>
      <c r="Q192" s="8" t="s">
        <v>56</v>
      </c>
      <c r="R192" s="10" t="s">
        <v>1316</v>
      </c>
      <c r="S192" s="11"/>
      <c r="T192" s="6"/>
      <c r="U192" s="28" t="str">
        <f>HYPERLINK("https://media.infra-m.ru/2131/2131752/cover/2131752.jpg", "Обложка")</f>
        <v>Обложка</v>
      </c>
      <c r="V192" s="28" t="str">
        <f>HYPERLINK("https://znanium.ru/catalog/product/2131752", "Ознакомиться")</f>
        <v>Ознакомиться</v>
      </c>
      <c r="W192" s="8" t="s">
        <v>1028</v>
      </c>
      <c r="X192" s="6"/>
      <c r="Y192" s="6"/>
      <c r="Z192" s="6"/>
      <c r="AA192" s="6" t="s">
        <v>381</v>
      </c>
    </row>
    <row r="193" spans="1:27" s="4" customFormat="1" ht="42" customHeight="1">
      <c r="A193" s="5">
        <v>0</v>
      </c>
      <c r="B193" s="6" t="s">
        <v>1317</v>
      </c>
      <c r="C193" s="13">
        <v>560</v>
      </c>
      <c r="D193" s="8" t="s">
        <v>1318</v>
      </c>
      <c r="E193" s="8" t="s">
        <v>1319</v>
      </c>
      <c r="F193" s="8" t="s">
        <v>1320</v>
      </c>
      <c r="G193" s="6" t="s">
        <v>37</v>
      </c>
      <c r="H193" s="6" t="s">
        <v>38</v>
      </c>
      <c r="I193" s="8" t="s">
        <v>39</v>
      </c>
      <c r="J193" s="9">
        <v>1</v>
      </c>
      <c r="K193" s="9">
        <v>117</v>
      </c>
      <c r="L193" s="9">
        <v>2023</v>
      </c>
      <c r="M193" s="8" t="s">
        <v>1321</v>
      </c>
      <c r="N193" s="8" t="s">
        <v>41</v>
      </c>
      <c r="O193" s="8" t="s">
        <v>65</v>
      </c>
      <c r="P193" s="6" t="s">
        <v>43</v>
      </c>
      <c r="Q193" s="8" t="s">
        <v>44</v>
      </c>
      <c r="R193" s="10" t="s">
        <v>1131</v>
      </c>
      <c r="S193" s="11"/>
      <c r="T193" s="6"/>
      <c r="U193" s="28" t="str">
        <f>HYPERLINK("https://media.infra-m.ru/1971/1971065/cover/1971065.jpg", "Обложка")</f>
        <v>Обложка</v>
      </c>
      <c r="V193" s="28" t="str">
        <f>HYPERLINK("https://znanium.ru/catalog/product/1971065", "Ознакомиться")</f>
        <v>Ознакомиться</v>
      </c>
      <c r="W193" s="8" t="s">
        <v>1028</v>
      </c>
      <c r="X193" s="6"/>
      <c r="Y193" s="6"/>
      <c r="Z193" s="6"/>
      <c r="AA193" s="6" t="s">
        <v>364</v>
      </c>
    </row>
    <row r="194" spans="1:27" s="4" customFormat="1" ht="51.95" customHeight="1">
      <c r="A194" s="5">
        <v>0</v>
      </c>
      <c r="B194" s="6" t="s">
        <v>1322</v>
      </c>
      <c r="C194" s="7">
        <v>1350</v>
      </c>
      <c r="D194" s="8" t="s">
        <v>1323</v>
      </c>
      <c r="E194" s="8" t="s">
        <v>1324</v>
      </c>
      <c r="F194" s="8" t="s">
        <v>1325</v>
      </c>
      <c r="G194" s="6" t="s">
        <v>37</v>
      </c>
      <c r="H194" s="6" t="s">
        <v>38</v>
      </c>
      <c r="I194" s="8" t="s">
        <v>39</v>
      </c>
      <c r="J194" s="9">
        <v>1</v>
      </c>
      <c r="K194" s="9">
        <v>343</v>
      </c>
      <c r="L194" s="9">
        <v>2022</v>
      </c>
      <c r="M194" s="8" t="s">
        <v>1326</v>
      </c>
      <c r="N194" s="8" t="s">
        <v>41</v>
      </c>
      <c r="O194" s="8" t="s">
        <v>42</v>
      </c>
      <c r="P194" s="6" t="s">
        <v>43</v>
      </c>
      <c r="Q194" s="8" t="s">
        <v>44</v>
      </c>
      <c r="R194" s="10" t="s">
        <v>1327</v>
      </c>
      <c r="S194" s="11"/>
      <c r="T194" s="6"/>
      <c r="U194" s="28" t="str">
        <f>HYPERLINK("https://media.infra-m.ru/1740/1740251/cover/1740251.jpg", "Обложка")</f>
        <v>Обложка</v>
      </c>
      <c r="V194" s="28" t="str">
        <f>HYPERLINK("https://znanium.ru/catalog/product/1740251", "Ознакомиться")</f>
        <v>Ознакомиться</v>
      </c>
      <c r="W194" s="8" t="s">
        <v>58</v>
      </c>
      <c r="X194" s="6"/>
      <c r="Y194" s="6"/>
      <c r="Z194" s="6"/>
      <c r="AA194" s="6" t="s">
        <v>103</v>
      </c>
    </row>
    <row r="195" spans="1:27" s="4" customFormat="1" ht="42" customHeight="1">
      <c r="A195" s="5">
        <v>0</v>
      </c>
      <c r="B195" s="6" t="s">
        <v>1328</v>
      </c>
      <c r="C195" s="7">
        <v>1078</v>
      </c>
      <c r="D195" s="8" t="s">
        <v>1329</v>
      </c>
      <c r="E195" s="8" t="s">
        <v>1330</v>
      </c>
      <c r="F195" s="8" t="s">
        <v>1331</v>
      </c>
      <c r="G195" s="6" t="s">
        <v>37</v>
      </c>
      <c r="H195" s="6" t="s">
        <v>618</v>
      </c>
      <c r="I195" s="8"/>
      <c r="J195" s="9">
        <v>1</v>
      </c>
      <c r="K195" s="9">
        <v>352</v>
      </c>
      <c r="L195" s="9">
        <v>2024</v>
      </c>
      <c r="M195" s="8" t="s">
        <v>1332</v>
      </c>
      <c r="N195" s="8" t="s">
        <v>74</v>
      </c>
      <c r="O195" s="8" t="s">
        <v>93</v>
      </c>
      <c r="P195" s="6" t="s">
        <v>43</v>
      </c>
      <c r="Q195" s="8" t="s">
        <v>44</v>
      </c>
      <c r="R195" s="10" t="s">
        <v>1333</v>
      </c>
      <c r="S195" s="11"/>
      <c r="T195" s="6"/>
      <c r="U195" s="28" t="str">
        <f>HYPERLINK("https://media.infra-m.ru/2123/2123354/cover/2123354.jpg", "Обложка")</f>
        <v>Обложка</v>
      </c>
      <c r="V195" s="28" t="str">
        <f>HYPERLINK("https://znanium.ru/catalog/product/1865725", "Ознакомиться")</f>
        <v>Ознакомиться</v>
      </c>
      <c r="W195" s="8" t="s">
        <v>1334</v>
      </c>
      <c r="X195" s="6"/>
      <c r="Y195" s="6"/>
      <c r="Z195" s="6"/>
      <c r="AA195" s="6" t="s">
        <v>826</v>
      </c>
    </row>
    <row r="196" spans="1:27" s="4" customFormat="1" ht="51.95" customHeight="1">
      <c r="A196" s="5">
        <v>0</v>
      </c>
      <c r="B196" s="6" t="s">
        <v>1335</v>
      </c>
      <c r="C196" s="7">
        <v>2660</v>
      </c>
      <c r="D196" s="8" t="s">
        <v>1336</v>
      </c>
      <c r="E196" s="8" t="s">
        <v>1337</v>
      </c>
      <c r="F196" s="8" t="s">
        <v>1338</v>
      </c>
      <c r="G196" s="6" t="s">
        <v>37</v>
      </c>
      <c r="H196" s="6" t="s">
        <v>38</v>
      </c>
      <c r="I196" s="8" t="s">
        <v>795</v>
      </c>
      <c r="J196" s="9">
        <v>1</v>
      </c>
      <c r="K196" s="9">
        <v>652</v>
      </c>
      <c r="L196" s="9">
        <v>2023</v>
      </c>
      <c r="M196" s="8" t="s">
        <v>1339</v>
      </c>
      <c r="N196" s="8" t="s">
        <v>74</v>
      </c>
      <c r="O196" s="8" t="s">
        <v>75</v>
      </c>
      <c r="P196" s="6" t="s">
        <v>378</v>
      </c>
      <c r="Q196" s="8" t="s">
        <v>1340</v>
      </c>
      <c r="R196" s="10" t="s">
        <v>1341</v>
      </c>
      <c r="S196" s="11"/>
      <c r="T196" s="6"/>
      <c r="U196" s="28" t="str">
        <f>HYPERLINK("https://media.infra-m.ru/1979/1979144/cover/1979144.jpg", "Обложка")</f>
        <v>Обложка</v>
      </c>
      <c r="V196" s="28" t="str">
        <f>HYPERLINK("https://znanium.ru/catalog/product/1979144", "Ознакомиться")</f>
        <v>Ознакомиться</v>
      </c>
      <c r="W196" s="8" t="s">
        <v>1342</v>
      </c>
      <c r="X196" s="6"/>
      <c r="Y196" s="6"/>
      <c r="Z196" s="6"/>
      <c r="AA196" s="6" t="s">
        <v>59</v>
      </c>
    </row>
    <row r="197" spans="1:27" s="4" customFormat="1" ht="42" customHeight="1">
      <c r="A197" s="5">
        <v>0</v>
      </c>
      <c r="B197" s="6" t="s">
        <v>1343</v>
      </c>
      <c r="C197" s="7">
        <v>2580</v>
      </c>
      <c r="D197" s="8" t="s">
        <v>1344</v>
      </c>
      <c r="E197" s="8" t="s">
        <v>1345</v>
      </c>
      <c r="F197" s="8" t="s">
        <v>1338</v>
      </c>
      <c r="G197" s="6" t="s">
        <v>37</v>
      </c>
      <c r="H197" s="6" t="s">
        <v>38</v>
      </c>
      <c r="I197" s="8" t="s">
        <v>795</v>
      </c>
      <c r="J197" s="9">
        <v>1</v>
      </c>
      <c r="K197" s="9">
        <v>631</v>
      </c>
      <c r="L197" s="9">
        <v>2023</v>
      </c>
      <c r="M197" s="8" t="s">
        <v>1346</v>
      </c>
      <c r="N197" s="8" t="s">
        <v>74</v>
      </c>
      <c r="O197" s="8" t="s">
        <v>75</v>
      </c>
      <c r="P197" s="6" t="s">
        <v>378</v>
      </c>
      <c r="Q197" s="8" t="s">
        <v>44</v>
      </c>
      <c r="R197" s="10" t="s">
        <v>460</v>
      </c>
      <c r="S197" s="11"/>
      <c r="T197" s="6"/>
      <c r="U197" s="28" t="str">
        <f>HYPERLINK("https://media.infra-m.ru/1979/1979146/cover/1979146.jpg", "Обложка")</f>
        <v>Обложка</v>
      </c>
      <c r="V197" s="28" t="str">
        <f>HYPERLINK("https://znanium.ru/catalog/product/1979146", "Ознакомиться")</f>
        <v>Ознакомиться</v>
      </c>
      <c r="W197" s="8" t="s">
        <v>1342</v>
      </c>
      <c r="X197" s="6"/>
      <c r="Y197" s="6"/>
      <c r="Z197" s="6"/>
      <c r="AA197" s="6" t="s">
        <v>59</v>
      </c>
    </row>
    <row r="198" spans="1:27" s="4" customFormat="1" ht="51.95" customHeight="1">
      <c r="A198" s="5">
        <v>0</v>
      </c>
      <c r="B198" s="6" t="s">
        <v>1347</v>
      </c>
      <c r="C198" s="7">
        <v>2530</v>
      </c>
      <c r="D198" s="8" t="s">
        <v>1348</v>
      </c>
      <c r="E198" s="8" t="s">
        <v>1337</v>
      </c>
      <c r="F198" s="8" t="s">
        <v>1338</v>
      </c>
      <c r="G198" s="6" t="s">
        <v>37</v>
      </c>
      <c r="H198" s="6" t="s">
        <v>38</v>
      </c>
      <c r="I198" s="8" t="s">
        <v>795</v>
      </c>
      <c r="J198" s="9">
        <v>1</v>
      </c>
      <c r="K198" s="9">
        <v>621</v>
      </c>
      <c r="L198" s="9">
        <v>2023</v>
      </c>
      <c r="M198" s="8" t="s">
        <v>1349</v>
      </c>
      <c r="N198" s="8" t="s">
        <v>74</v>
      </c>
      <c r="O198" s="8" t="s">
        <v>75</v>
      </c>
      <c r="P198" s="6" t="s">
        <v>378</v>
      </c>
      <c r="Q198" s="8" t="s">
        <v>44</v>
      </c>
      <c r="R198" s="10" t="s">
        <v>1341</v>
      </c>
      <c r="S198" s="11"/>
      <c r="T198" s="6"/>
      <c r="U198" s="28" t="str">
        <f>HYPERLINK("https://media.infra-m.ru/1979/1979145/cover/1979145.jpg", "Обложка")</f>
        <v>Обложка</v>
      </c>
      <c r="V198" s="28" t="str">
        <f>HYPERLINK("https://znanium.ru/catalog/product/1979145", "Ознакомиться")</f>
        <v>Ознакомиться</v>
      </c>
      <c r="W198" s="8" t="s">
        <v>1342</v>
      </c>
      <c r="X198" s="6"/>
      <c r="Y198" s="6"/>
      <c r="Z198" s="6"/>
      <c r="AA198" s="6" t="s">
        <v>59</v>
      </c>
    </row>
    <row r="199" spans="1:27" s="4" customFormat="1" ht="51.95" customHeight="1">
      <c r="A199" s="5">
        <v>0</v>
      </c>
      <c r="B199" s="6" t="s">
        <v>1350</v>
      </c>
      <c r="C199" s="7">
        <v>1930</v>
      </c>
      <c r="D199" s="8" t="s">
        <v>1351</v>
      </c>
      <c r="E199" s="8" t="s">
        <v>1352</v>
      </c>
      <c r="F199" s="8" t="s">
        <v>1353</v>
      </c>
      <c r="G199" s="6" t="s">
        <v>83</v>
      </c>
      <c r="H199" s="6" t="s">
        <v>38</v>
      </c>
      <c r="I199" s="8" t="s">
        <v>155</v>
      </c>
      <c r="J199" s="9">
        <v>1</v>
      </c>
      <c r="K199" s="9">
        <v>429</v>
      </c>
      <c r="L199" s="9">
        <v>2023</v>
      </c>
      <c r="M199" s="8" t="s">
        <v>1354</v>
      </c>
      <c r="N199" s="8" t="s">
        <v>41</v>
      </c>
      <c r="O199" s="8" t="s">
        <v>65</v>
      </c>
      <c r="P199" s="6" t="s">
        <v>176</v>
      </c>
      <c r="Q199" s="8" t="s">
        <v>56</v>
      </c>
      <c r="R199" s="10" t="s">
        <v>1355</v>
      </c>
      <c r="S199" s="11" t="s">
        <v>1356</v>
      </c>
      <c r="T199" s="6"/>
      <c r="U199" s="28" t="str">
        <f>HYPERLINK("https://media.infra-m.ru/2006/2006030/cover/2006030.jpg", "Обложка")</f>
        <v>Обложка</v>
      </c>
      <c r="V199" s="28" t="str">
        <f>HYPERLINK("https://znanium.ru/catalog/product/2006030", "Ознакомиться")</f>
        <v>Ознакомиться</v>
      </c>
      <c r="W199" s="8" t="s">
        <v>363</v>
      </c>
      <c r="X199" s="6"/>
      <c r="Y199" s="6"/>
      <c r="Z199" s="6"/>
      <c r="AA199" s="6" t="s">
        <v>650</v>
      </c>
    </row>
    <row r="200" spans="1:27" s="4" customFormat="1" ht="51.95" customHeight="1">
      <c r="A200" s="5">
        <v>0</v>
      </c>
      <c r="B200" s="6" t="s">
        <v>1357</v>
      </c>
      <c r="C200" s="7">
        <v>1970</v>
      </c>
      <c r="D200" s="8" t="s">
        <v>1358</v>
      </c>
      <c r="E200" s="8" t="s">
        <v>1352</v>
      </c>
      <c r="F200" s="8" t="s">
        <v>1353</v>
      </c>
      <c r="G200" s="6" t="s">
        <v>123</v>
      </c>
      <c r="H200" s="6" t="s">
        <v>38</v>
      </c>
      <c r="I200" s="8" t="s">
        <v>185</v>
      </c>
      <c r="J200" s="9">
        <v>1</v>
      </c>
      <c r="K200" s="9">
        <v>429</v>
      </c>
      <c r="L200" s="9">
        <v>2021</v>
      </c>
      <c r="M200" s="8" t="s">
        <v>1359</v>
      </c>
      <c r="N200" s="8" t="s">
        <v>41</v>
      </c>
      <c r="O200" s="8" t="s">
        <v>65</v>
      </c>
      <c r="P200" s="6" t="s">
        <v>176</v>
      </c>
      <c r="Q200" s="8" t="s">
        <v>187</v>
      </c>
      <c r="R200" s="10" t="s">
        <v>188</v>
      </c>
      <c r="S200" s="11" t="s">
        <v>1360</v>
      </c>
      <c r="T200" s="6"/>
      <c r="U200" s="28" t="str">
        <f>HYPERLINK("https://media.infra-m.ru/2132/2132086/cover/2132086.jpg", "Обложка")</f>
        <v>Обложка</v>
      </c>
      <c r="V200" s="28" t="str">
        <f>HYPERLINK("https://znanium.ru/catalog/product/2132086", "Ознакомиться")</f>
        <v>Ознакомиться</v>
      </c>
      <c r="W200" s="8" t="s">
        <v>363</v>
      </c>
      <c r="X200" s="6"/>
      <c r="Y200" s="6"/>
      <c r="Z200" s="6" t="s">
        <v>192</v>
      </c>
      <c r="AA200" s="6" t="s">
        <v>193</v>
      </c>
    </row>
    <row r="201" spans="1:27" s="4" customFormat="1" ht="51.95" customHeight="1">
      <c r="A201" s="5">
        <v>0</v>
      </c>
      <c r="B201" s="6" t="s">
        <v>1361</v>
      </c>
      <c r="C201" s="13">
        <v>990</v>
      </c>
      <c r="D201" s="8" t="s">
        <v>1362</v>
      </c>
      <c r="E201" s="8" t="s">
        <v>1363</v>
      </c>
      <c r="F201" s="8" t="s">
        <v>1364</v>
      </c>
      <c r="G201" s="6" t="s">
        <v>83</v>
      </c>
      <c r="H201" s="6" t="s">
        <v>317</v>
      </c>
      <c r="I201" s="8" t="s">
        <v>1365</v>
      </c>
      <c r="J201" s="9">
        <v>1</v>
      </c>
      <c r="K201" s="9">
        <v>290</v>
      </c>
      <c r="L201" s="9">
        <v>2019</v>
      </c>
      <c r="M201" s="8" t="s">
        <v>1366</v>
      </c>
      <c r="N201" s="8" t="s">
        <v>41</v>
      </c>
      <c r="O201" s="8" t="s">
        <v>65</v>
      </c>
      <c r="P201" s="6" t="s">
        <v>43</v>
      </c>
      <c r="Q201" s="8" t="s">
        <v>44</v>
      </c>
      <c r="R201" s="10" t="s">
        <v>1367</v>
      </c>
      <c r="S201" s="11"/>
      <c r="T201" s="6"/>
      <c r="U201" s="28" t="str">
        <f>HYPERLINK("https://media.infra-m.ru/1010/1010791/cover/1010791.jpg", "Обложка")</f>
        <v>Обложка</v>
      </c>
      <c r="V201" s="28" t="str">
        <f>HYPERLINK("https://znanium.ru/catalog/product/1010791", "Ознакомиться")</f>
        <v>Ознакомиться</v>
      </c>
      <c r="W201" s="8" t="s">
        <v>1368</v>
      </c>
      <c r="X201" s="6"/>
      <c r="Y201" s="6"/>
      <c r="Z201" s="6"/>
      <c r="AA201" s="6" t="s">
        <v>68</v>
      </c>
    </row>
    <row r="202" spans="1:27" s="4" customFormat="1" ht="44.1" customHeight="1">
      <c r="A202" s="5">
        <v>0</v>
      </c>
      <c r="B202" s="6" t="s">
        <v>1369</v>
      </c>
      <c r="C202" s="7">
        <v>1040</v>
      </c>
      <c r="D202" s="8" t="s">
        <v>1370</v>
      </c>
      <c r="E202" s="8" t="s">
        <v>1371</v>
      </c>
      <c r="F202" s="8" t="s">
        <v>1372</v>
      </c>
      <c r="G202" s="6" t="s">
        <v>83</v>
      </c>
      <c r="H202" s="6" t="s">
        <v>38</v>
      </c>
      <c r="I202" s="8" t="s">
        <v>39</v>
      </c>
      <c r="J202" s="9">
        <v>1</v>
      </c>
      <c r="K202" s="9">
        <v>260</v>
      </c>
      <c r="L202" s="9">
        <v>2021</v>
      </c>
      <c r="M202" s="8" t="s">
        <v>1373</v>
      </c>
      <c r="N202" s="8" t="s">
        <v>41</v>
      </c>
      <c r="O202" s="8" t="s">
        <v>65</v>
      </c>
      <c r="P202" s="6" t="s">
        <v>43</v>
      </c>
      <c r="Q202" s="8" t="s">
        <v>44</v>
      </c>
      <c r="R202" s="10" t="s">
        <v>1374</v>
      </c>
      <c r="S202" s="11"/>
      <c r="T202" s="6"/>
      <c r="U202" s="28" t="str">
        <f>HYPERLINK("https://media.infra-m.ru/1570/1570138/cover/1570138.jpg", "Обложка")</f>
        <v>Обложка</v>
      </c>
      <c r="V202" s="28" t="str">
        <f>HYPERLINK("https://znanium.ru/catalog/product/1098273", "Ознакомиться")</f>
        <v>Ознакомиться</v>
      </c>
      <c r="W202" s="8"/>
      <c r="X202" s="6"/>
      <c r="Y202" s="6"/>
      <c r="Z202" s="6"/>
      <c r="AA202" s="6" t="s">
        <v>193</v>
      </c>
    </row>
    <row r="203" spans="1:27" s="4" customFormat="1" ht="42" customHeight="1">
      <c r="A203" s="5">
        <v>0</v>
      </c>
      <c r="B203" s="6" t="s">
        <v>1375</v>
      </c>
      <c r="C203" s="7">
        <v>1054</v>
      </c>
      <c r="D203" s="8" t="s">
        <v>1376</v>
      </c>
      <c r="E203" s="8" t="s">
        <v>1377</v>
      </c>
      <c r="F203" s="8" t="s">
        <v>1378</v>
      </c>
      <c r="G203" s="6" t="s">
        <v>123</v>
      </c>
      <c r="H203" s="6" t="s">
        <v>38</v>
      </c>
      <c r="I203" s="8" t="s">
        <v>164</v>
      </c>
      <c r="J203" s="9">
        <v>1</v>
      </c>
      <c r="K203" s="9">
        <v>230</v>
      </c>
      <c r="L203" s="9">
        <v>2024</v>
      </c>
      <c r="M203" s="8" t="s">
        <v>1379</v>
      </c>
      <c r="N203" s="8" t="s">
        <v>74</v>
      </c>
      <c r="O203" s="8" t="s">
        <v>75</v>
      </c>
      <c r="P203" s="6" t="s">
        <v>55</v>
      </c>
      <c r="Q203" s="8" t="s">
        <v>56</v>
      </c>
      <c r="R203" s="10" t="s">
        <v>1380</v>
      </c>
      <c r="S203" s="11"/>
      <c r="T203" s="6" t="s">
        <v>190</v>
      </c>
      <c r="U203" s="28" t="str">
        <f>HYPERLINK("https://media.infra-m.ru/2087/2087279/cover/2087279.jpg", "Обложка")</f>
        <v>Обложка</v>
      </c>
      <c r="V203" s="28" t="str">
        <f>HYPERLINK("https://znanium.ru/catalog/product/1150846", "Ознакомиться")</f>
        <v>Ознакомиться</v>
      </c>
      <c r="W203" s="8" t="s">
        <v>1381</v>
      </c>
      <c r="X203" s="6"/>
      <c r="Y203" s="6"/>
      <c r="Z203" s="6"/>
      <c r="AA203" s="6" t="s">
        <v>676</v>
      </c>
    </row>
    <row r="204" spans="1:27" s="4" customFormat="1" ht="51.95" customHeight="1">
      <c r="A204" s="5">
        <v>0</v>
      </c>
      <c r="B204" s="6" t="s">
        <v>1382</v>
      </c>
      <c r="C204" s="13">
        <v>580</v>
      </c>
      <c r="D204" s="8" t="s">
        <v>1383</v>
      </c>
      <c r="E204" s="8" t="s">
        <v>1384</v>
      </c>
      <c r="F204" s="8" t="s">
        <v>1385</v>
      </c>
      <c r="G204" s="6" t="s">
        <v>83</v>
      </c>
      <c r="H204" s="6" t="s">
        <v>38</v>
      </c>
      <c r="I204" s="8" t="s">
        <v>164</v>
      </c>
      <c r="J204" s="9">
        <v>1</v>
      </c>
      <c r="K204" s="9">
        <v>156</v>
      </c>
      <c r="L204" s="9">
        <v>2022</v>
      </c>
      <c r="M204" s="8" t="s">
        <v>1386</v>
      </c>
      <c r="N204" s="8" t="s">
        <v>41</v>
      </c>
      <c r="O204" s="8" t="s">
        <v>65</v>
      </c>
      <c r="P204" s="6" t="s">
        <v>55</v>
      </c>
      <c r="Q204" s="8" t="s">
        <v>56</v>
      </c>
      <c r="R204" s="10" t="s">
        <v>1387</v>
      </c>
      <c r="S204" s="11" t="s">
        <v>1388</v>
      </c>
      <c r="T204" s="6" t="s">
        <v>190</v>
      </c>
      <c r="U204" s="28" t="str">
        <f>HYPERLINK("https://media.infra-m.ru/1694/1694230/cover/1694230.jpg", "Обложка")</f>
        <v>Обложка</v>
      </c>
      <c r="V204" s="28" t="str">
        <f>HYPERLINK("https://znanium.ru/catalog/product/1694230", "Ознакомиться")</f>
        <v>Ознакомиться</v>
      </c>
      <c r="W204" s="8" t="s">
        <v>210</v>
      </c>
      <c r="X204" s="6"/>
      <c r="Y204" s="6"/>
      <c r="Z204" s="6"/>
      <c r="AA204" s="6" t="s">
        <v>290</v>
      </c>
    </row>
    <row r="205" spans="1:27" s="4" customFormat="1" ht="44.1" customHeight="1">
      <c r="A205" s="5">
        <v>0</v>
      </c>
      <c r="B205" s="6" t="s">
        <v>1389</v>
      </c>
      <c r="C205" s="7">
        <v>1230</v>
      </c>
      <c r="D205" s="8" t="s">
        <v>1390</v>
      </c>
      <c r="E205" s="8" t="s">
        <v>1391</v>
      </c>
      <c r="F205" s="8" t="s">
        <v>1142</v>
      </c>
      <c r="G205" s="6" t="s">
        <v>123</v>
      </c>
      <c r="H205" s="6" t="s">
        <v>38</v>
      </c>
      <c r="I205" s="8" t="s">
        <v>39</v>
      </c>
      <c r="J205" s="9">
        <v>1</v>
      </c>
      <c r="K205" s="9">
        <v>314</v>
      </c>
      <c r="L205" s="9">
        <v>2022</v>
      </c>
      <c r="M205" s="8" t="s">
        <v>1392</v>
      </c>
      <c r="N205" s="8" t="s">
        <v>74</v>
      </c>
      <c r="O205" s="8" t="s">
        <v>93</v>
      </c>
      <c r="P205" s="6" t="s">
        <v>43</v>
      </c>
      <c r="Q205" s="8" t="s">
        <v>44</v>
      </c>
      <c r="R205" s="10" t="s">
        <v>1393</v>
      </c>
      <c r="S205" s="11"/>
      <c r="T205" s="6"/>
      <c r="U205" s="28" t="str">
        <f>HYPERLINK("https://media.infra-m.ru/1660/1660953/cover/1660953.jpg", "Обложка")</f>
        <v>Обложка</v>
      </c>
      <c r="V205" s="28" t="str">
        <f>HYPERLINK("https://znanium.ru/catalog/product/1660953", "Ознакомиться")</f>
        <v>Ознакомиться</v>
      </c>
      <c r="W205" s="8" t="s">
        <v>1144</v>
      </c>
      <c r="X205" s="6"/>
      <c r="Y205" s="6"/>
      <c r="Z205" s="6"/>
      <c r="AA205" s="6" t="s">
        <v>103</v>
      </c>
    </row>
    <row r="206" spans="1:27" s="4" customFormat="1" ht="51.95" customHeight="1">
      <c r="A206" s="5">
        <v>0</v>
      </c>
      <c r="B206" s="6" t="s">
        <v>1394</v>
      </c>
      <c r="C206" s="7">
        <v>2449</v>
      </c>
      <c r="D206" s="8" t="s">
        <v>1395</v>
      </c>
      <c r="E206" s="8" t="s">
        <v>1396</v>
      </c>
      <c r="F206" s="8" t="s">
        <v>1397</v>
      </c>
      <c r="G206" s="6" t="s">
        <v>123</v>
      </c>
      <c r="H206" s="6" t="s">
        <v>52</v>
      </c>
      <c r="I206" s="8" t="s">
        <v>164</v>
      </c>
      <c r="J206" s="9">
        <v>1</v>
      </c>
      <c r="K206" s="9">
        <v>432</v>
      </c>
      <c r="L206" s="9">
        <v>2023</v>
      </c>
      <c r="M206" s="8" t="s">
        <v>1398</v>
      </c>
      <c r="N206" s="8" t="s">
        <v>74</v>
      </c>
      <c r="O206" s="8" t="s">
        <v>394</v>
      </c>
      <c r="P206" s="6" t="s">
        <v>55</v>
      </c>
      <c r="Q206" s="8" t="s">
        <v>56</v>
      </c>
      <c r="R206" s="10" t="s">
        <v>1399</v>
      </c>
      <c r="S206" s="11" t="s">
        <v>1400</v>
      </c>
      <c r="T206" s="6"/>
      <c r="U206" s="28" t="str">
        <f>HYPERLINK("https://media.infra-m.ru/1940/1940914/cover/1940914.jpg", "Обложка")</f>
        <v>Обложка</v>
      </c>
      <c r="V206" s="28" t="str">
        <f>HYPERLINK("https://znanium.ru/catalog/product/1940914", "Ознакомиться")</f>
        <v>Ознакомиться</v>
      </c>
      <c r="W206" s="8" t="s">
        <v>1401</v>
      </c>
      <c r="X206" s="6"/>
      <c r="Y206" s="6"/>
      <c r="Z206" s="6"/>
      <c r="AA206" s="6" t="s">
        <v>290</v>
      </c>
    </row>
    <row r="207" spans="1:27" s="4" customFormat="1" ht="51.95" customHeight="1">
      <c r="A207" s="5">
        <v>0</v>
      </c>
      <c r="B207" s="6" t="s">
        <v>1402</v>
      </c>
      <c r="C207" s="7">
        <v>2599</v>
      </c>
      <c r="D207" s="8" t="s">
        <v>1403</v>
      </c>
      <c r="E207" s="8" t="s">
        <v>1404</v>
      </c>
      <c r="F207" s="8" t="s">
        <v>1405</v>
      </c>
      <c r="G207" s="6" t="s">
        <v>123</v>
      </c>
      <c r="H207" s="6" t="s">
        <v>38</v>
      </c>
      <c r="I207" s="8" t="s">
        <v>155</v>
      </c>
      <c r="J207" s="9">
        <v>1</v>
      </c>
      <c r="K207" s="9">
        <v>478</v>
      </c>
      <c r="L207" s="9">
        <v>2024</v>
      </c>
      <c r="M207" s="8" t="s">
        <v>1406</v>
      </c>
      <c r="N207" s="8" t="s">
        <v>74</v>
      </c>
      <c r="O207" s="8" t="s">
        <v>394</v>
      </c>
      <c r="P207" s="6" t="s">
        <v>55</v>
      </c>
      <c r="Q207" s="8" t="s">
        <v>56</v>
      </c>
      <c r="R207" s="10" t="s">
        <v>1399</v>
      </c>
      <c r="S207" s="11" t="s">
        <v>1407</v>
      </c>
      <c r="T207" s="6"/>
      <c r="U207" s="28" t="str">
        <f>HYPERLINK("https://media.infra-m.ru/1223/1223290/cover/1223290.jpg", "Обложка")</f>
        <v>Обложка</v>
      </c>
      <c r="V207" s="28" t="str">
        <f>HYPERLINK("https://znanium.ru/catalog/product/1940914", "Ознакомиться")</f>
        <v>Ознакомиться</v>
      </c>
      <c r="W207" s="8" t="s">
        <v>1401</v>
      </c>
      <c r="X207" s="6" t="s">
        <v>517</v>
      </c>
      <c r="Y207" s="6"/>
      <c r="Z207" s="6"/>
      <c r="AA207" s="6" t="s">
        <v>1408</v>
      </c>
    </row>
    <row r="208" spans="1:27" s="4" customFormat="1" ht="42" customHeight="1">
      <c r="A208" s="5">
        <v>0</v>
      </c>
      <c r="B208" s="6" t="s">
        <v>1409</v>
      </c>
      <c r="C208" s="7">
        <v>2222</v>
      </c>
      <c r="D208" s="8" t="s">
        <v>1410</v>
      </c>
      <c r="E208" s="8" t="s">
        <v>1411</v>
      </c>
      <c r="F208" s="8" t="s">
        <v>592</v>
      </c>
      <c r="G208" s="6" t="s">
        <v>37</v>
      </c>
      <c r="H208" s="6" t="s">
        <v>470</v>
      </c>
      <c r="I208" s="8" t="s">
        <v>155</v>
      </c>
      <c r="J208" s="9">
        <v>1</v>
      </c>
      <c r="K208" s="9">
        <v>439</v>
      </c>
      <c r="L208" s="9">
        <v>2024</v>
      </c>
      <c r="M208" s="8" t="s">
        <v>1412</v>
      </c>
      <c r="N208" s="8" t="s">
        <v>74</v>
      </c>
      <c r="O208" s="8" t="s">
        <v>75</v>
      </c>
      <c r="P208" s="6" t="s">
        <v>55</v>
      </c>
      <c r="Q208" s="8" t="s">
        <v>56</v>
      </c>
      <c r="R208" s="10" t="s">
        <v>253</v>
      </c>
      <c r="S208" s="11"/>
      <c r="T208" s="6"/>
      <c r="U208" s="28" t="str">
        <f>HYPERLINK("https://media.infra-m.ru/2129/2129117/cover/2129117.jpg", "Обложка")</f>
        <v>Обложка</v>
      </c>
      <c r="V208" s="28" t="str">
        <f>HYPERLINK("https://znanium.ru/catalog/product/2129117", "Ознакомиться")</f>
        <v>Ознакомиться</v>
      </c>
      <c r="W208" s="8" t="s">
        <v>597</v>
      </c>
      <c r="X208" s="6"/>
      <c r="Y208" s="6"/>
      <c r="Z208" s="6"/>
      <c r="AA208" s="6" t="s">
        <v>650</v>
      </c>
    </row>
    <row r="209" spans="1:27" s="4" customFormat="1" ht="51.95" customHeight="1">
      <c r="A209" s="5">
        <v>0</v>
      </c>
      <c r="B209" s="6" t="s">
        <v>1413</v>
      </c>
      <c r="C209" s="13">
        <v>650</v>
      </c>
      <c r="D209" s="8" t="s">
        <v>1414</v>
      </c>
      <c r="E209" s="8" t="s">
        <v>1415</v>
      </c>
      <c r="F209" s="8" t="s">
        <v>507</v>
      </c>
      <c r="G209" s="6" t="s">
        <v>37</v>
      </c>
      <c r="H209" s="6" t="s">
        <v>38</v>
      </c>
      <c r="I209" s="8" t="s">
        <v>155</v>
      </c>
      <c r="J209" s="9">
        <v>1</v>
      </c>
      <c r="K209" s="9">
        <v>140</v>
      </c>
      <c r="L209" s="9">
        <v>2023</v>
      </c>
      <c r="M209" s="8" t="s">
        <v>1416</v>
      </c>
      <c r="N209" s="8" t="s">
        <v>74</v>
      </c>
      <c r="O209" s="8" t="s">
        <v>75</v>
      </c>
      <c r="P209" s="6" t="s">
        <v>55</v>
      </c>
      <c r="Q209" s="8" t="s">
        <v>56</v>
      </c>
      <c r="R209" s="10" t="s">
        <v>1417</v>
      </c>
      <c r="S209" s="11"/>
      <c r="T209" s="6"/>
      <c r="U209" s="28" t="str">
        <f>HYPERLINK("https://media.infra-m.ru/2125/2125886/cover/2125886.jpg", "Обложка")</f>
        <v>Обложка</v>
      </c>
      <c r="V209" s="28" t="str">
        <f>HYPERLINK("https://znanium.ru/catalog/product/2125886", "Ознакомиться")</f>
        <v>Ознакомиться</v>
      </c>
      <c r="W209" s="8" t="s">
        <v>511</v>
      </c>
      <c r="X209" s="6"/>
      <c r="Y209" s="6"/>
      <c r="Z209" s="6"/>
      <c r="AA209" s="6" t="s">
        <v>59</v>
      </c>
    </row>
    <row r="210" spans="1:27" s="4" customFormat="1" ht="42" customHeight="1">
      <c r="A210" s="5">
        <v>0</v>
      </c>
      <c r="B210" s="6" t="s">
        <v>1418</v>
      </c>
      <c r="C210" s="13">
        <v>754</v>
      </c>
      <c r="D210" s="8" t="s">
        <v>1419</v>
      </c>
      <c r="E210" s="8" t="s">
        <v>1420</v>
      </c>
      <c r="F210" s="8" t="s">
        <v>1421</v>
      </c>
      <c r="G210" s="6" t="s">
        <v>37</v>
      </c>
      <c r="H210" s="6" t="s">
        <v>725</v>
      </c>
      <c r="I210" s="8"/>
      <c r="J210" s="9">
        <v>1</v>
      </c>
      <c r="K210" s="9">
        <v>160</v>
      </c>
      <c r="L210" s="9">
        <v>2024</v>
      </c>
      <c r="M210" s="8" t="s">
        <v>1422</v>
      </c>
      <c r="N210" s="8" t="s">
        <v>74</v>
      </c>
      <c r="O210" s="8" t="s">
        <v>394</v>
      </c>
      <c r="P210" s="6" t="s">
        <v>43</v>
      </c>
      <c r="Q210" s="8" t="s">
        <v>44</v>
      </c>
      <c r="R210" s="10" t="s">
        <v>1423</v>
      </c>
      <c r="S210" s="11"/>
      <c r="T210" s="6"/>
      <c r="U210" s="28" t="str">
        <f>HYPERLINK("https://media.infra-m.ru/2147/2147924/cover/2147924.jpg", "Обложка")</f>
        <v>Обложка</v>
      </c>
      <c r="V210" s="28" t="str">
        <f>HYPERLINK("https://znanium.ru/catalog/product/1897823", "Ознакомиться")</f>
        <v>Ознакомиться</v>
      </c>
      <c r="W210" s="8" t="s">
        <v>1424</v>
      </c>
      <c r="X210" s="6"/>
      <c r="Y210" s="6"/>
      <c r="Z210" s="6"/>
      <c r="AA210" s="6" t="s">
        <v>381</v>
      </c>
    </row>
    <row r="211" spans="1:27" s="4" customFormat="1" ht="51.95" customHeight="1">
      <c r="A211" s="5">
        <v>0</v>
      </c>
      <c r="B211" s="6" t="s">
        <v>1425</v>
      </c>
      <c r="C211" s="7">
        <v>1004.9</v>
      </c>
      <c r="D211" s="8" t="s">
        <v>1426</v>
      </c>
      <c r="E211" s="8" t="s">
        <v>1427</v>
      </c>
      <c r="F211" s="8" t="s">
        <v>1428</v>
      </c>
      <c r="G211" s="6" t="s">
        <v>37</v>
      </c>
      <c r="H211" s="6" t="s">
        <v>38</v>
      </c>
      <c r="I211" s="8" t="s">
        <v>39</v>
      </c>
      <c r="J211" s="9">
        <v>1</v>
      </c>
      <c r="K211" s="9">
        <v>324</v>
      </c>
      <c r="L211" s="9">
        <v>2017</v>
      </c>
      <c r="M211" s="8" t="s">
        <v>1429</v>
      </c>
      <c r="N211" s="8" t="s">
        <v>74</v>
      </c>
      <c r="O211" s="8" t="s">
        <v>93</v>
      </c>
      <c r="P211" s="6" t="s">
        <v>43</v>
      </c>
      <c r="Q211" s="8" t="s">
        <v>44</v>
      </c>
      <c r="R211" s="10" t="s">
        <v>1430</v>
      </c>
      <c r="S211" s="11"/>
      <c r="T211" s="6"/>
      <c r="U211" s="28" t="str">
        <f>HYPERLINK("https://media.infra-m.ru/0769/0769934/cover/769934.jpg", "Обложка")</f>
        <v>Обложка</v>
      </c>
      <c r="V211" s="28" t="str">
        <f>HYPERLINK("https://znanium.ru/catalog/product/316335", "Ознакомиться")</f>
        <v>Ознакомиться</v>
      </c>
      <c r="W211" s="8" t="s">
        <v>434</v>
      </c>
      <c r="X211" s="6"/>
      <c r="Y211" s="6"/>
      <c r="Z211" s="6"/>
      <c r="AA211" s="6" t="s">
        <v>47</v>
      </c>
    </row>
    <row r="212" spans="1:27" s="4" customFormat="1" ht="51.95" customHeight="1">
      <c r="A212" s="5">
        <v>0</v>
      </c>
      <c r="B212" s="6" t="s">
        <v>1431</v>
      </c>
      <c r="C212" s="7">
        <v>1940</v>
      </c>
      <c r="D212" s="8" t="s">
        <v>1432</v>
      </c>
      <c r="E212" s="8" t="s">
        <v>1433</v>
      </c>
      <c r="F212" s="8" t="s">
        <v>1434</v>
      </c>
      <c r="G212" s="6" t="s">
        <v>37</v>
      </c>
      <c r="H212" s="6" t="s">
        <v>38</v>
      </c>
      <c r="I212" s="8" t="s">
        <v>39</v>
      </c>
      <c r="J212" s="9">
        <v>1</v>
      </c>
      <c r="K212" s="9">
        <v>412</v>
      </c>
      <c r="L212" s="9">
        <v>2024</v>
      </c>
      <c r="M212" s="8" t="s">
        <v>1435</v>
      </c>
      <c r="N212" s="8" t="s">
        <v>74</v>
      </c>
      <c r="O212" s="8" t="s">
        <v>109</v>
      </c>
      <c r="P212" s="6" t="s">
        <v>43</v>
      </c>
      <c r="Q212" s="8" t="s">
        <v>44</v>
      </c>
      <c r="R212" s="10" t="s">
        <v>1436</v>
      </c>
      <c r="S212" s="11"/>
      <c r="T212" s="6"/>
      <c r="U212" s="28" t="str">
        <f>HYPERLINK("https://media.infra-m.ru/2063/2063419/cover/2063419.jpg", "Обложка")</f>
        <v>Обложка</v>
      </c>
      <c r="V212" s="28" t="str">
        <f>HYPERLINK("https://znanium.ru/catalog/product/2063419", "Ознакомиться")</f>
        <v>Ознакомиться</v>
      </c>
      <c r="W212" s="8" t="s">
        <v>1437</v>
      </c>
      <c r="X212" s="6"/>
      <c r="Y212" s="6"/>
      <c r="Z212" s="6"/>
      <c r="AA212" s="6" t="s">
        <v>111</v>
      </c>
    </row>
    <row r="213" spans="1:27" s="4" customFormat="1" ht="51.95" customHeight="1">
      <c r="A213" s="5">
        <v>0</v>
      </c>
      <c r="B213" s="6" t="s">
        <v>1438</v>
      </c>
      <c r="C213" s="7">
        <v>2199</v>
      </c>
      <c r="D213" s="8" t="s">
        <v>1439</v>
      </c>
      <c r="E213" s="8" t="s">
        <v>1440</v>
      </c>
      <c r="F213" s="8" t="s">
        <v>1441</v>
      </c>
      <c r="G213" s="6" t="s">
        <v>83</v>
      </c>
      <c r="H213" s="6" t="s">
        <v>52</v>
      </c>
      <c r="I213" s="8" t="s">
        <v>205</v>
      </c>
      <c r="J213" s="9">
        <v>1</v>
      </c>
      <c r="K213" s="9">
        <v>288</v>
      </c>
      <c r="L213" s="9">
        <v>2024</v>
      </c>
      <c r="M213" s="8" t="s">
        <v>1442</v>
      </c>
      <c r="N213" s="8" t="s">
        <v>74</v>
      </c>
      <c r="O213" s="8" t="s">
        <v>394</v>
      </c>
      <c r="P213" s="6" t="s">
        <v>55</v>
      </c>
      <c r="Q213" s="8" t="s">
        <v>207</v>
      </c>
      <c r="R213" s="10" t="s">
        <v>1443</v>
      </c>
      <c r="S213" s="11" t="s">
        <v>1444</v>
      </c>
      <c r="T213" s="6"/>
      <c r="U213" s="28" t="str">
        <f>HYPERLINK("https://media.infra-m.ru/2086/2086796/cover/2086796.jpg", "Обложка")</f>
        <v>Обложка</v>
      </c>
      <c r="V213" s="28" t="str">
        <f>HYPERLINK("https://znanium.ru/catalog/product/2086796", "Ознакомиться")</f>
        <v>Ознакомиться</v>
      </c>
      <c r="W213" s="8" t="s">
        <v>273</v>
      </c>
      <c r="X213" s="6"/>
      <c r="Y213" s="6"/>
      <c r="Z213" s="6"/>
      <c r="AA213" s="6" t="s">
        <v>747</v>
      </c>
    </row>
    <row r="214" spans="1:27" s="4" customFormat="1" ht="51.95" customHeight="1">
      <c r="A214" s="5">
        <v>0</v>
      </c>
      <c r="B214" s="6" t="s">
        <v>1445</v>
      </c>
      <c r="C214" s="13">
        <v>760</v>
      </c>
      <c r="D214" s="8" t="s">
        <v>1446</v>
      </c>
      <c r="E214" s="8" t="s">
        <v>1447</v>
      </c>
      <c r="F214" s="8" t="s">
        <v>672</v>
      </c>
      <c r="G214" s="6" t="s">
        <v>83</v>
      </c>
      <c r="H214" s="6" t="s">
        <v>38</v>
      </c>
      <c r="I214" s="8" t="s">
        <v>155</v>
      </c>
      <c r="J214" s="9">
        <v>1</v>
      </c>
      <c r="K214" s="9">
        <v>160</v>
      </c>
      <c r="L214" s="9">
        <v>2024</v>
      </c>
      <c r="M214" s="8" t="s">
        <v>1448</v>
      </c>
      <c r="N214" s="8" t="s">
        <v>74</v>
      </c>
      <c r="O214" s="8" t="s">
        <v>75</v>
      </c>
      <c r="P214" s="6" t="s">
        <v>176</v>
      </c>
      <c r="Q214" s="8" t="s">
        <v>56</v>
      </c>
      <c r="R214" s="10" t="s">
        <v>166</v>
      </c>
      <c r="S214" s="11" t="s">
        <v>1449</v>
      </c>
      <c r="T214" s="6"/>
      <c r="U214" s="28" t="str">
        <f>HYPERLINK("https://media.infra-m.ru/2086/2086860/cover/2086860.jpg", "Обложка")</f>
        <v>Обложка</v>
      </c>
      <c r="V214" s="28" t="str">
        <f>HYPERLINK("https://znanium.ru/catalog/product/2086860", "Ознакомиться")</f>
        <v>Ознакомиться</v>
      </c>
      <c r="W214" s="8" t="s">
        <v>511</v>
      </c>
      <c r="X214" s="6"/>
      <c r="Y214" s="6"/>
      <c r="Z214" s="6"/>
      <c r="AA214" s="6" t="s">
        <v>290</v>
      </c>
    </row>
    <row r="215" spans="1:27" s="4" customFormat="1" ht="51.95" customHeight="1">
      <c r="A215" s="5">
        <v>0</v>
      </c>
      <c r="B215" s="6" t="s">
        <v>1450</v>
      </c>
      <c r="C215" s="13">
        <v>740</v>
      </c>
      <c r="D215" s="8" t="s">
        <v>1451</v>
      </c>
      <c r="E215" s="8" t="s">
        <v>1452</v>
      </c>
      <c r="F215" s="8" t="s">
        <v>1453</v>
      </c>
      <c r="G215" s="6" t="s">
        <v>37</v>
      </c>
      <c r="H215" s="6" t="s">
        <v>38</v>
      </c>
      <c r="I215" s="8" t="s">
        <v>155</v>
      </c>
      <c r="J215" s="9">
        <v>1</v>
      </c>
      <c r="K215" s="9">
        <v>165</v>
      </c>
      <c r="L215" s="9">
        <v>2023</v>
      </c>
      <c r="M215" s="8" t="s">
        <v>1454</v>
      </c>
      <c r="N215" s="8" t="s">
        <v>74</v>
      </c>
      <c r="O215" s="8" t="s">
        <v>75</v>
      </c>
      <c r="P215" s="6" t="s">
        <v>55</v>
      </c>
      <c r="Q215" s="8" t="s">
        <v>177</v>
      </c>
      <c r="R215" s="10" t="s">
        <v>1455</v>
      </c>
      <c r="S215" s="11" t="s">
        <v>1456</v>
      </c>
      <c r="T215" s="6" t="s">
        <v>190</v>
      </c>
      <c r="U215" s="28" t="str">
        <f>HYPERLINK("https://media.infra-m.ru/2017/2017312/cover/2017312.jpg", "Обложка")</f>
        <v>Обложка</v>
      </c>
      <c r="V215" s="28" t="str">
        <f>HYPERLINK("https://znanium.ru/catalog/product/2017312", "Ознакомиться")</f>
        <v>Ознакомиться</v>
      </c>
      <c r="W215" s="8" t="s">
        <v>297</v>
      </c>
      <c r="X215" s="6"/>
      <c r="Y215" s="6"/>
      <c r="Z215" s="6"/>
      <c r="AA215" s="6" t="s">
        <v>381</v>
      </c>
    </row>
    <row r="216" spans="1:27" s="4" customFormat="1" ht="51.95" customHeight="1">
      <c r="A216" s="5">
        <v>0</v>
      </c>
      <c r="B216" s="6" t="s">
        <v>1457</v>
      </c>
      <c r="C216" s="7">
        <v>1057</v>
      </c>
      <c r="D216" s="8" t="s">
        <v>1458</v>
      </c>
      <c r="E216" s="8" t="s">
        <v>1459</v>
      </c>
      <c r="F216" s="8" t="s">
        <v>1460</v>
      </c>
      <c r="G216" s="6" t="s">
        <v>123</v>
      </c>
      <c r="H216" s="6" t="s">
        <v>52</v>
      </c>
      <c r="I216" s="8"/>
      <c r="J216" s="9">
        <v>1</v>
      </c>
      <c r="K216" s="9">
        <v>176</v>
      </c>
      <c r="L216" s="9">
        <v>2024</v>
      </c>
      <c r="M216" s="8" t="s">
        <v>1461</v>
      </c>
      <c r="N216" s="8" t="s">
        <v>74</v>
      </c>
      <c r="O216" s="8" t="s">
        <v>75</v>
      </c>
      <c r="P216" s="6" t="s">
        <v>55</v>
      </c>
      <c r="Q216" s="8" t="s">
        <v>177</v>
      </c>
      <c r="R216" s="10" t="s">
        <v>1462</v>
      </c>
      <c r="S216" s="11" t="s">
        <v>1463</v>
      </c>
      <c r="T216" s="6"/>
      <c r="U216" s="28" t="str">
        <f>HYPERLINK("https://media.infra-m.ru/2058/2058773/cover/2058773.jpg", "Обложка")</f>
        <v>Обложка</v>
      </c>
      <c r="V216" s="12"/>
      <c r="W216" s="8" t="s">
        <v>168</v>
      </c>
      <c r="X216" s="6"/>
      <c r="Y216" s="6"/>
      <c r="Z216" s="6"/>
      <c r="AA216" s="6" t="s">
        <v>274</v>
      </c>
    </row>
    <row r="217" spans="1:27" s="4" customFormat="1" ht="51.95" customHeight="1">
      <c r="A217" s="5">
        <v>0</v>
      </c>
      <c r="B217" s="6" t="s">
        <v>1464</v>
      </c>
      <c r="C217" s="13">
        <v>750</v>
      </c>
      <c r="D217" s="8" t="s">
        <v>1465</v>
      </c>
      <c r="E217" s="8" t="s">
        <v>1466</v>
      </c>
      <c r="F217" s="8" t="s">
        <v>1467</v>
      </c>
      <c r="G217" s="6" t="s">
        <v>83</v>
      </c>
      <c r="H217" s="6" t="s">
        <v>38</v>
      </c>
      <c r="I217" s="8" t="s">
        <v>164</v>
      </c>
      <c r="J217" s="9">
        <v>1</v>
      </c>
      <c r="K217" s="9">
        <v>189</v>
      </c>
      <c r="L217" s="9">
        <v>2022</v>
      </c>
      <c r="M217" s="8" t="s">
        <v>1468</v>
      </c>
      <c r="N217" s="8" t="s">
        <v>74</v>
      </c>
      <c r="O217" s="8" t="s">
        <v>109</v>
      </c>
      <c r="P217" s="6" t="s">
        <v>1469</v>
      </c>
      <c r="Q217" s="8" t="s">
        <v>56</v>
      </c>
      <c r="R217" s="10" t="s">
        <v>1470</v>
      </c>
      <c r="S217" s="11" t="s">
        <v>1471</v>
      </c>
      <c r="T217" s="6"/>
      <c r="U217" s="28" t="str">
        <f>HYPERLINK("https://media.infra-m.ru/1860/1860859/cover/1860859.jpg", "Обложка")</f>
        <v>Обложка</v>
      </c>
      <c r="V217" s="28" t="str">
        <f>HYPERLINK("https://znanium.ru/catalog/product/1860859", "Ознакомиться")</f>
        <v>Ознакомиться</v>
      </c>
      <c r="W217" s="8" t="s">
        <v>1472</v>
      </c>
      <c r="X217" s="6"/>
      <c r="Y217" s="6"/>
      <c r="Z217" s="6"/>
      <c r="AA217" s="6" t="s">
        <v>312</v>
      </c>
    </row>
    <row r="218" spans="1:27" s="4" customFormat="1" ht="51.95" customHeight="1">
      <c r="A218" s="5">
        <v>0</v>
      </c>
      <c r="B218" s="6" t="s">
        <v>1473</v>
      </c>
      <c r="C218" s="13">
        <v>830</v>
      </c>
      <c r="D218" s="8" t="s">
        <v>1474</v>
      </c>
      <c r="E218" s="8" t="s">
        <v>1475</v>
      </c>
      <c r="F218" s="8" t="s">
        <v>1476</v>
      </c>
      <c r="G218" s="6" t="s">
        <v>83</v>
      </c>
      <c r="H218" s="6" t="s">
        <v>618</v>
      </c>
      <c r="I218" s="8"/>
      <c r="J218" s="9">
        <v>1</v>
      </c>
      <c r="K218" s="9">
        <v>184</v>
      </c>
      <c r="L218" s="9">
        <v>2023</v>
      </c>
      <c r="M218" s="8" t="s">
        <v>1477</v>
      </c>
      <c r="N218" s="8" t="s">
        <v>41</v>
      </c>
      <c r="O218" s="8" t="s">
        <v>65</v>
      </c>
      <c r="P218" s="6" t="s">
        <v>43</v>
      </c>
      <c r="Q218" s="8" t="s">
        <v>44</v>
      </c>
      <c r="R218" s="10" t="s">
        <v>1478</v>
      </c>
      <c r="S218" s="11"/>
      <c r="T218" s="6"/>
      <c r="U218" s="28" t="str">
        <f>HYPERLINK("https://media.infra-m.ru/1993/1993585/cover/1993585.jpg", "Обложка")</f>
        <v>Обложка</v>
      </c>
      <c r="V218" s="28" t="str">
        <f>HYPERLINK("https://znanium.ru/catalog/product/1993585", "Ознакомиться")</f>
        <v>Ознакомиться</v>
      </c>
      <c r="W218" s="8" t="s">
        <v>416</v>
      </c>
      <c r="X218" s="6"/>
      <c r="Y218" s="6"/>
      <c r="Z218" s="6"/>
      <c r="AA218" s="6" t="s">
        <v>78</v>
      </c>
    </row>
    <row r="219" spans="1:27" s="4" customFormat="1" ht="42" customHeight="1">
      <c r="A219" s="5">
        <v>0</v>
      </c>
      <c r="B219" s="6" t="s">
        <v>1479</v>
      </c>
      <c r="C219" s="13">
        <v>770</v>
      </c>
      <c r="D219" s="8" t="s">
        <v>1480</v>
      </c>
      <c r="E219" s="8" t="s">
        <v>1481</v>
      </c>
      <c r="F219" s="8" t="s">
        <v>1482</v>
      </c>
      <c r="G219" s="6" t="s">
        <v>37</v>
      </c>
      <c r="H219" s="6" t="s">
        <v>38</v>
      </c>
      <c r="I219" s="8" t="s">
        <v>39</v>
      </c>
      <c r="J219" s="9">
        <v>1</v>
      </c>
      <c r="K219" s="9">
        <v>172</v>
      </c>
      <c r="L219" s="9">
        <v>2023</v>
      </c>
      <c r="M219" s="8" t="s">
        <v>1483</v>
      </c>
      <c r="N219" s="8" t="s">
        <v>74</v>
      </c>
      <c r="O219" s="8" t="s">
        <v>109</v>
      </c>
      <c r="P219" s="6" t="s">
        <v>43</v>
      </c>
      <c r="Q219" s="8" t="s">
        <v>44</v>
      </c>
      <c r="R219" s="10" t="s">
        <v>667</v>
      </c>
      <c r="S219" s="11"/>
      <c r="T219" s="6"/>
      <c r="U219" s="28" t="str">
        <f>HYPERLINK("https://media.infra-m.ru/1904/1904242/cover/1904242.jpg", "Обложка")</f>
        <v>Обложка</v>
      </c>
      <c r="V219" s="28" t="str">
        <f>HYPERLINK("https://znanium.ru/catalog/product/1904242", "Ознакомиться")</f>
        <v>Ознакомиться</v>
      </c>
      <c r="W219" s="8" t="s">
        <v>1484</v>
      </c>
      <c r="X219" s="6"/>
      <c r="Y219" s="6"/>
      <c r="Z219" s="6"/>
      <c r="AA219" s="6" t="s">
        <v>381</v>
      </c>
    </row>
    <row r="220" spans="1:27" s="4" customFormat="1" ht="51.95" customHeight="1">
      <c r="A220" s="5">
        <v>0</v>
      </c>
      <c r="B220" s="6" t="s">
        <v>1485</v>
      </c>
      <c r="C220" s="13">
        <v>890</v>
      </c>
      <c r="D220" s="8" t="s">
        <v>1486</v>
      </c>
      <c r="E220" s="8" t="s">
        <v>1487</v>
      </c>
      <c r="F220" s="8" t="s">
        <v>1488</v>
      </c>
      <c r="G220" s="6" t="s">
        <v>83</v>
      </c>
      <c r="H220" s="6" t="s">
        <v>38</v>
      </c>
      <c r="I220" s="8" t="s">
        <v>205</v>
      </c>
      <c r="J220" s="9">
        <v>1</v>
      </c>
      <c r="K220" s="9">
        <v>190</v>
      </c>
      <c r="L220" s="9">
        <v>2024</v>
      </c>
      <c r="M220" s="8" t="s">
        <v>1489</v>
      </c>
      <c r="N220" s="8" t="s">
        <v>74</v>
      </c>
      <c r="O220" s="8" t="s">
        <v>75</v>
      </c>
      <c r="P220" s="6" t="s">
        <v>176</v>
      </c>
      <c r="Q220" s="8" t="s">
        <v>207</v>
      </c>
      <c r="R220" s="10" t="s">
        <v>1490</v>
      </c>
      <c r="S220" s="11" t="s">
        <v>1491</v>
      </c>
      <c r="T220" s="6"/>
      <c r="U220" s="28" t="str">
        <f>HYPERLINK("https://media.infra-m.ru/2122/2122493/cover/2122493.jpg", "Обложка")</f>
        <v>Обложка</v>
      </c>
      <c r="V220" s="28" t="str">
        <f>HYPERLINK("https://znanium.ru/catalog/product/2122493", "Ознакомиться")</f>
        <v>Ознакомиться</v>
      </c>
      <c r="W220" s="8" t="s">
        <v>1492</v>
      </c>
      <c r="X220" s="6"/>
      <c r="Y220" s="6"/>
      <c r="Z220" s="6"/>
      <c r="AA220" s="6" t="s">
        <v>193</v>
      </c>
    </row>
    <row r="221" spans="1:27" s="4" customFormat="1" ht="51.95" customHeight="1">
      <c r="A221" s="5">
        <v>0</v>
      </c>
      <c r="B221" s="6" t="s">
        <v>1493</v>
      </c>
      <c r="C221" s="7">
        <v>1294.9000000000001</v>
      </c>
      <c r="D221" s="8" t="s">
        <v>1494</v>
      </c>
      <c r="E221" s="8" t="s">
        <v>1495</v>
      </c>
      <c r="F221" s="8" t="s">
        <v>1496</v>
      </c>
      <c r="G221" s="6" t="s">
        <v>37</v>
      </c>
      <c r="H221" s="6" t="s">
        <v>52</v>
      </c>
      <c r="I221" s="8" t="s">
        <v>155</v>
      </c>
      <c r="J221" s="9">
        <v>1</v>
      </c>
      <c r="K221" s="9">
        <v>288</v>
      </c>
      <c r="L221" s="9">
        <v>2023</v>
      </c>
      <c r="M221" s="8" t="s">
        <v>1497</v>
      </c>
      <c r="N221" s="8" t="s">
        <v>74</v>
      </c>
      <c r="O221" s="8" t="s">
        <v>109</v>
      </c>
      <c r="P221" s="6" t="s">
        <v>55</v>
      </c>
      <c r="Q221" s="8" t="s">
        <v>56</v>
      </c>
      <c r="R221" s="10" t="s">
        <v>1498</v>
      </c>
      <c r="S221" s="11" t="s">
        <v>1499</v>
      </c>
      <c r="T221" s="6"/>
      <c r="U221" s="28" t="str">
        <f>HYPERLINK("https://media.infra-m.ru/1923/1923186/cover/1923186.jpg", "Обложка")</f>
        <v>Обложка</v>
      </c>
      <c r="V221" s="28" t="str">
        <f>HYPERLINK("https://znanium.ru/catalog/product/1817993", "Ознакомиться")</f>
        <v>Ознакомиться</v>
      </c>
      <c r="W221" s="8" t="s">
        <v>95</v>
      </c>
      <c r="X221" s="6"/>
      <c r="Y221" s="6"/>
      <c r="Z221" s="6"/>
      <c r="AA221" s="6" t="s">
        <v>1500</v>
      </c>
    </row>
    <row r="222" spans="1:27" s="4" customFormat="1" ht="51.95" customHeight="1">
      <c r="A222" s="5">
        <v>0</v>
      </c>
      <c r="B222" s="6" t="s">
        <v>1501</v>
      </c>
      <c r="C222" s="7">
        <v>1750</v>
      </c>
      <c r="D222" s="8" t="s">
        <v>1502</v>
      </c>
      <c r="E222" s="8" t="s">
        <v>1503</v>
      </c>
      <c r="F222" s="8" t="s">
        <v>1504</v>
      </c>
      <c r="G222" s="6" t="s">
        <v>83</v>
      </c>
      <c r="H222" s="6" t="s">
        <v>38</v>
      </c>
      <c r="I222" s="8" t="s">
        <v>205</v>
      </c>
      <c r="J222" s="9">
        <v>1</v>
      </c>
      <c r="K222" s="9">
        <v>372</v>
      </c>
      <c r="L222" s="9">
        <v>2024</v>
      </c>
      <c r="M222" s="8" t="s">
        <v>1505</v>
      </c>
      <c r="N222" s="8" t="s">
        <v>74</v>
      </c>
      <c r="O222" s="8" t="s">
        <v>109</v>
      </c>
      <c r="P222" s="6" t="s">
        <v>176</v>
      </c>
      <c r="Q222" s="8" t="s">
        <v>207</v>
      </c>
      <c r="R222" s="10" t="s">
        <v>1506</v>
      </c>
      <c r="S222" s="11" t="s">
        <v>1507</v>
      </c>
      <c r="T222" s="6"/>
      <c r="U222" s="28" t="str">
        <f>HYPERLINK("https://media.infra-m.ru/2100/2100007/cover/2100007.jpg", "Обложка")</f>
        <v>Обложка</v>
      </c>
      <c r="V222" s="28" t="str">
        <f>HYPERLINK("https://znanium.ru/catalog/product/2100007", "Ознакомиться")</f>
        <v>Ознакомиться</v>
      </c>
      <c r="W222" s="8" t="s">
        <v>1508</v>
      </c>
      <c r="X222" s="6"/>
      <c r="Y222" s="6"/>
      <c r="Z222" s="6"/>
      <c r="AA222" s="6" t="s">
        <v>1509</v>
      </c>
    </row>
    <row r="223" spans="1:27" s="4" customFormat="1" ht="51.95" customHeight="1">
      <c r="A223" s="5">
        <v>0</v>
      </c>
      <c r="B223" s="6" t="s">
        <v>1510</v>
      </c>
      <c r="C223" s="7">
        <v>1770</v>
      </c>
      <c r="D223" s="8" t="s">
        <v>1511</v>
      </c>
      <c r="E223" s="8" t="s">
        <v>1512</v>
      </c>
      <c r="F223" s="8" t="s">
        <v>1504</v>
      </c>
      <c r="G223" s="6" t="s">
        <v>83</v>
      </c>
      <c r="H223" s="6" t="s">
        <v>38</v>
      </c>
      <c r="I223" s="8" t="s">
        <v>155</v>
      </c>
      <c r="J223" s="9">
        <v>1</v>
      </c>
      <c r="K223" s="9">
        <v>384</v>
      </c>
      <c r="L223" s="9">
        <v>2024</v>
      </c>
      <c r="M223" s="8" t="s">
        <v>1513</v>
      </c>
      <c r="N223" s="8" t="s">
        <v>74</v>
      </c>
      <c r="O223" s="8" t="s">
        <v>109</v>
      </c>
      <c r="P223" s="6" t="s">
        <v>176</v>
      </c>
      <c r="Q223" s="8" t="s">
        <v>56</v>
      </c>
      <c r="R223" s="10" t="s">
        <v>1514</v>
      </c>
      <c r="S223" s="11" t="s">
        <v>1515</v>
      </c>
      <c r="T223" s="6"/>
      <c r="U223" s="28" t="str">
        <f>HYPERLINK("https://media.infra-m.ru/2079/2079955/cover/2079955.jpg", "Обложка")</f>
        <v>Обложка</v>
      </c>
      <c r="V223" s="28" t="str">
        <f>HYPERLINK("https://znanium.ru/catalog/product/2079955", "Ознакомиться")</f>
        <v>Ознакомиться</v>
      </c>
      <c r="W223" s="8" t="s">
        <v>1508</v>
      </c>
      <c r="X223" s="6"/>
      <c r="Y223" s="6"/>
      <c r="Z223" s="6"/>
      <c r="AA223" s="6" t="s">
        <v>1516</v>
      </c>
    </row>
    <row r="224" spans="1:27" s="4" customFormat="1" ht="44.1" customHeight="1">
      <c r="A224" s="5">
        <v>0</v>
      </c>
      <c r="B224" s="6" t="s">
        <v>1517</v>
      </c>
      <c r="C224" s="7">
        <v>2260</v>
      </c>
      <c r="D224" s="8" t="s">
        <v>1518</v>
      </c>
      <c r="E224" s="8" t="s">
        <v>1519</v>
      </c>
      <c r="F224" s="8" t="s">
        <v>1520</v>
      </c>
      <c r="G224" s="6" t="s">
        <v>123</v>
      </c>
      <c r="H224" s="6" t="s">
        <v>38</v>
      </c>
      <c r="I224" s="8" t="s">
        <v>39</v>
      </c>
      <c r="J224" s="9">
        <v>1</v>
      </c>
      <c r="K224" s="9">
        <v>482</v>
      </c>
      <c r="L224" s="9">
        <v>2024</v>
      </c>
      <c r="M224" s="8" t="s">
        <v>1521</v>
      </c>
      <c r="N224" s="8" t="s">
        <v>74</v>
      </c>
      <c r="O224" s="8" t="s">
        <v>93</v>
      </c>
      <c r="P224" s="6" t="s">
        <v>43</v>
      </c>
      <c r="Q224" s="8" t="s">
        <v>44</v>
      </c>
      <c r="R224" s="10" t="s">
        <v>1522</v>
      </c>
      <c r="S224" s="11"/>
      <c r="T224" s="6"/>
      <c r="U224" s="28" t="str">
        <f>HYPERLINK("https://media.infra-m.ru/2099/2099001/cover/2099001.jpg", "Обложка")</f>
        <v>Обложка</v>
      </c>
      <c r="V224" s="28" t="str">
        <f>HYPERLINK("https://znanium.ru/catalog/product/2099001", "Ознакомиться")</f>
        <v>Ознакомиться</v>
      </c>
      <c r="W224" s="8" t="s">
        <v>1523</v>
      </c>
      <c r="X224" s="6" t="s">
        <v>179</v>
      </c>
      <c r="Y224" s="6"/>
      <c r="Z224" s="6"/>
      <c r="AA224" s="6" t="s">
        <v>180</v>
      </c>
    </row>
    <row r="225" spans="1:27" s="4" customFormat="1" ht="44.1" customHeight="1">
      <c r="A225" s="5">
        <v>0</v>
      </c>
      <c r="B225" s="6" t="s">
        <v>1524</v>
      </c>
      <c r="C225" s="13">
        <v>800</v>
      </c>
      <c r="D225" s="8" t="s">
        <v>1525</v>
      </c>
      <c r="E225" s="8" t="s">
        <v>1526</v>
      </c>
      <c r="F225" s="8" t="s">
        <v>1527</v>
      </c>
      <c r="G225" s="6" t="s">
        <v>37</v>
      </c>
      <c r="H225" s="6" t="s">
        <v>38</v>
      </c>
      <c r="I225" s="8" t="s">
        <v>39</v>
      </c>
      <c r="J225" s="9">
        <v>1</v>
      </c>
      <c r="K225" s="9">
        <v>204</v>
      </c>
      <c r="L225" s="9">
        <v>2022</v>
      </c>
      <c r="M225" s="8" t="s">
        <v>1528</v>
      </c>
      <c r="N225" s="8" t="s">
        <v>74</v>
      </c>
      <c r="O225" s="8" t="s">
        <v>93</v>
      </c>
      <c r="P225" s="6" t="s">
        <v>43</v>
      </c>
      <c r="Q225" s="8" t="s">
        <v>44</v>
      </c>
      <c r="R225" s="10" t="s">
        <v>1529</v>
      </c>
      <c r="S225" s="11"/>
      <c r="T225" s="6"/>
      <c r="U225" s="28" t="str">
        <f>HYPERLINK("https://media.infra-m.ru/1095/1095043/cover/1095043.jpg", "Обложка")</f>
        <v>Обложка</v>
      </c>
      <c r="V225" s="28" t="str">
        <f>HYPERLINK("https://znanium.ru/catalog/product/1095043", "Ознакомиться")</f>
        <v>Ознакомиться</v>
      </c>
      <c r="W225" s="8" t="s">
        <v>1530</v>
      </c>
      <c r="X225" s="6"/>
      <c r="Y225" s="6"/>
      <c r="Z225" s="6"/>
      <c r="AA225" s="6" t="s">
        <v>103</v>
      </c>
    </row>
    <row r="226" spans="1:27" s="4" customFormat="1" ht="42" customHeight="1">
      <c r="A226" s="5">
        <v>0</v>
      </c>
      <c r="B226" s="6" t="s">
        <v>1531</v>
      </c>
      <c r="C226" s="13">
        <v>400</v>
      </c>
      <c r="D226" s="8" t="s">
        <v>1532</v>
      </c>
      <c r="E226" s="8" t="s">
        <v>1533</v>
      </c>
      <c r="F226" s="8" t="s">
        <v>1534</v>
      </c>
      <c r="G226" s="6" t="s">
        <v>37</v>
      </c>
      <c r="H226" s="6" t="s">
        <v>38</v>
      </c>
      <c r="I226" s="8" t="s">
        <v>155</v>
      </c>
      <c r="J226" s="9">
        <v>1</v>
      </c>
      <c r="K226" s="9">
        <v>86</v>
      </c>
      <c r="L226" s="9">
        <v>2023</v>
      </c>
      <c r="M226" s="8" t="s">
        <v>1535</v>
      </c>
      <c r="N226" s="8" t="s">
        <v>74</v>
      </c>
      <c r="O226" s="8" t="s">
        <v>75</v>
      </c>
      <c r="P226" s="6" t="s">
        <v>55</v>
      </c>
      <c r="Q226" s="8" t="s">
        <v>177</v>
      </c>
      <c r="R226" s="10" t="s">
        <v>1536</v>
      </c>
      <c r="S226" s="11"/>
      <c r="T226" s="6"/>
      <c r="U226" s="28" t="str">
        <f>HYPERLINK("https://media.infra-m.ru/2000/2000881/cover/2000881.jpg", "Обложка")</f>
        <v>Обложка</v>
      </c>
      <c r="V226" s="28" t="str">
        <f>HYPERLINK("https://znanium.ru/catalog/product/2000881", "Ознакомиться")</f>
        <v>Ознакомиться</v>
      </c>
      <c r="W226" s="8" t="s">
        <v>1085</v>
      </c>
      <c r="X226" s="6"/>
      <c r="Y226" s="6"/>
      <c r="Z226" s="6"/>
      <c r="AA226" s="6" t="s">
        <v>47</v>
      </c>
    </row>
    <row r="227" spans="1:27" s="4" customFormat="1" ht="42" customHeight="1">
      <c r="A227" s="5">
        <v>0</v>
      </c>
      <c r="B227" s="6" t="s">
        <v>1537</v>
      </c>
      <c r="C227" s="13">
        <v>540</v>
      </c>
      <c r="D227" s="8" t="s">
        <v>1538</v>
      </c>
      <c r="E227" s="8" t="s">
        <v>1539</v>
      </c>
      <c r="F227" s="8" t="s">
        <v>400</v>
      </c>
      <c r="G227" s="6" t="s">
        <v>37</v>
      </c>
      <c r="H227" s="6" t="s">
        <v>38</v>
      </c>
      <c r="I227" s="8" t="s">
        <v>39</v>
      </c>
      <c r="J227" s="9">
        <v>1</v>
      </c>
      <c r="K227" s="9">
        <v>119</v>
      </c>
      <c r="L227" s="9">
        <v>2023</v>
      </c>
      <c r="M227" s="8" t="s">
        <v>1540</v>
      </c>
      <c r="N227" s="8" t="s">
        <v>74</v>
      </c>
      <c r="O227" s="8" t="s">
        <v>93</v>
      </c>
      <c r="P227" s="6" t="s">
        <v>43</v>
      </c>
      <c r="Q227" s="8" t="s">
        <v>44</v>
      </c>
      <c r="R227" s="10" t="s">
        <v>1541</v>
      </c>
      <c r="S227" s="11"/>
      <c r="T227" s="6"/>
      <c r="U227" s="28" t="str">
        <f>HYPERLINK("https://media.infra-m.ru/1938/1938022/cover/1938022.jpg", "Обложка")</f>
        <v>Обложка</v>
      </c>
      <c r="V227" s="28" t="str">
        <f>HYPERLINK("https://znanium.ru/catalog/product/1938022", "Ознакомиться")</f>
        <v>Ознакомиться</v>
      </c>
      <c r="W227" s="8" t="s">
        <v>402</v>
      </c>
      <c r="X227" s="6"/>
      <c r="Y227" s="6"/>
      <c r="Z227" s="6"/>
      <c r="AA227" s="6" t="s">
        <v>364</v>
      </c>
    </row>
    <row r="228" spans="1:27" s="4" customFormat="1" ht="42" customHeight="1">
      <c r="A228" s="5">
        <v>0</v>
      </c>
      <c r="B228" s="6" t="s">
        <v>1542</v>
      </c>
      <c r="C228" s="13">
        <v>790</v>
      </c>
      <c r="D228" s="8" t="s">
        <v>1543</v>
      </c>
      <c r="E228" s="8" t="s">
        <v>1544</v>
      </c>
      <c r="F228" s="8" t="s">
        <v>1545</v>
      </c>
      <c r="G228" s="6" t="s">
        <v>37</v>
      </c>
      <c r="H228" s="6" t="s">
        <v>38</v>
      </c>
      <c r="I228" s="8" t="s">
        <v>39</v>
      </c>
      <c r="J228" s="9">
        <v>1</v>
      </c>
      <c r="K228" s="9">
        <v>165</v>
      </c>
      <c r="L228" s="9">
        <v>2024</v>
      </c>
      <c r="M228" s="8" t="s">
        <v>1546</v>
      </c>
      <c r="N228" s="8" t="s">
        <v>41</v>
      </c>
      <c r="O228" s="8" t="s">
        <v>42</v>
      </c>
      <c r="P228" s="6" t="s">
        <v>43</v>
      </c>
      <c r="Q228" s="8" t="s">
        <v>44</v>
      </c>
      <c r="R228" s="10" t="s">
        <v>45</v>
      </c>
      <c r="S228" s="11"/>
      <c r="T228" s="6"/>
      <c r="U228" s="28" t="str">
        <f>HYPERLINK("https://media.infra-m.ru/2135/2135241/cover/2135241.jpg", "Обложка")</f>
        <v>Обложка</v>
      </c>
      <c r="V228" s="28" t="str">
        <f>HYPERLINK("https://znanium.ru/catalog/product/2135241", "Ознакомиться")</f>
        <v>Ознакомиться</v>
      </c>
      <c r="W228" s="8" t="s">
        <v>1547</v>
      </c>
      <c r="X228" s="6"/>
      <c r="Y228" s="6"/>
      <c r="Z228" s="6"/>
      <c r="AA228" s="6" t="s">
        <v>193</v>
      </c>
    </row>
    <row r="229" spans="1:27" s="4" customFormat="1" ht="42" customHeight="1">
      <c r="A229" s="5">
        <v>0</v>
      </c>
      <c r="B229" s="6" t="s">
        <v>1548</v>
      </c>
      <c r="C229" s="7">
        <v>1570</v>
      </c>
      <c r="D229" s="8" t="s">
        <v>1549</v>
      </c>
      <c r="E229" s="8" t="s">
        <v>1550</v>
      </c>
      <c r="F229" s="8" t="s">
        <v>1551</v>
      </c>
      <c r="G229" s="6" t="s">
        <v>83</v>
      </c>
      <c r="H229" s="6" t="s">
        <v>618</v>
      </c>
      <c r="I229" s="8"/>
      <c r="J229" s="9">
        <v>1</v>
      </c>
      <c r="K229" s="9">
        <v>336</v>
      </c>
      <c r="L229" s="9">
        <v>2024</v>
      </c>
      <c r="M229" s="8" t="s">
        <v>1552</v>
      </c>
      <c r="N229" s="8" t="s">
        <v>41</v>
      </c>
      <c r="O229" s="8" t="s">
        <v>65</v>
      </c>
      <c r="P229" s="6" t="s">
        <v>55</v>
      </c>
      <c r="Q229" s="8" t="s">
        <v>594</v>
      </c>
      <c r="R229" s="10" t="s">
        <v>1255</v>
      </c>
      <c r="S229" s="11"/>
      <c r="T229" s="6"/>
      <c r="U229" s="28" t="str">
        <f>HYPERLINK("https://media.infra-m.ru/2133/2133754/cover/2133754.jpg", "Обложка")</f>
        <v>Обложка</v>
      </c>
      <c r="V229" s="28" t="str">
        <f>HYPERLINK("https://znanium.ru/catalog/product/2133754", "Ознакомиться")</f>
        <v>Ознакомиться</v>
      </c>
      <c r="W229" s="8" t="s">
        <v>1553</v>
      </c>
      <c r="X229" s="6"/>
      <c r="Y229" s="6"/>
      <c r="Z229" s="6"/>
      <c r="AA229" s="6" t="s">
        <v>635</v>
      </c>
    </row>
    <row r="230" spans="1:27" s="4" customFormat="1" ht="51.95" customHeight="1">
      <c r="A230" s="5">
        <v>0</v>
      </c>
      <c r="B230" s="6" t="s">
        <v>1554</v>
      </c>
      <c r="C230" s="13">
        <v>930</v>
      </c>
      <c r="D230" s="8" t="s">
        <v>1555</v>
      </c>
      <c r="E230" s="8" t="s">
        <v>1556</v>
      </c>
      <c r="F230" s="8" t="s">
        <v>1557</v>
      </c>
      <c r="G230" s="6" t="s">
        <v>37</v>
      </c>
      <c r="H230" s="6" t="s">
        <v>38</v>
      </c>
      <c r="I230" s="8" t="s">
        <v>39</v>
      </c>
      <c r="J230" s="9">
        <v>1</v>
      </c>
      <c r="K230" s="9">
        <v>195</v>
      </c>
      <c r="L230" s="9">
        <v>2024</v>
      </c>
      <c r="M230" s="8" t="s">
        <v>1558</v>
      </c>
      <c r="N230" s="8" t="s">
        <v>74</v>
      </c>
      <c r="O230" s="8" t="s">
        <v>1559</v>
      </c>
      <c r="P230" s="6" t="s">
        <v>43</v>
      </c>
      <c r="Q230" s="8" t="s">
        <v>44</v>
      </c>
      <c r="R230" s="10" t="s">
        <v>1560</v>
      </c>
      <c r="S230" s="11"/>
      <c r="T230" s="6"/>
      <c r="U230" s="28" t="str">
        <f>HYPERLINK("https://media.infra-m.ru/2135/2135242/cover/2135242.jpg", "Обложка")</f>
        <v>Обложка</v>
      </c>
      <c r="V230" s="28" t="str">
        <f>HYPERLINK("https://znanium.ru/catalog/product/2135242", "Ознакомиться")</f>
        <v>Ознакомиться</v>
      </c>
      <c r="W230" s="8" t="s">
        <v>1561</v>
      </c>
      <c r="X230" s="6"/>
      <c r="Y230" s="6"/>
      <c r="Z230" s="6"/>
      <c r="AA230" s="6" t="s">
        <v>141</v>
      </c>
    </row>
    <row r="231" spans="1:27" s="4" customFormat="1" ht="51.95" customHeight="1">
      <c r="A231" s="5">
        <v>0</v>
      </c>
      <c r="B231" s="6" t="s">
        <v>1562</v>
      </c>
      <c r="C231" s="7">
        <v>1270</v>
      </c>
      <c r="D231" s="8" t="s">
        <v>1563</v>
      </c>
      <c r="E231" s="8" t="s">
        <v>1564</v>
      </c>
      <c r="F231" s="8" t="s">
        <v>1565</v>
      </c>
      <c r="G231" s="6" t="s">
        <v>37</v>
      </c>
      <c r="H231" s="6" t="s">
        <v>38</v>
      </c>
      <c r="I231" s="8" t="s">
        <v>884</v>
      </c>
      <c r="J231" s="9">
        <v>1</v>
      </c>
      <c r="K231" s="9">
        <v>276</v>
      </c>
      <c r="L231" s="9">
        <v>2024</v>
      </c>
      <c r="M231" s="8" t="s">
        <v>1566</v>
      </c>
      <c r="N231" s="8" t="s">
        <v>41</v>
      </c>
      <c r="O231" s="8" t="s">
        <v>42</v>
      </c>
      <c r="P231" s="6" t="s">
        <v>55</v>
      </c>
      <c r="Q231" s="8" t="s">
        <v>594</v>
      </c>
      <c r="R231" s="10" t="s">
        <v>1567</v>
      </c>
      <c r="S231" s="11" t="s">
        <v>1568</v>
      </c>
      <c r="T231" s="6"/>
      <c r="U231" s="28" t="str">
        <f>HYPERLINK("https://media.infra-m.ru/2107/2107384/cover/2107384.jpg", "Обложка")</f>
        <v>Обложка</v>
      </c>
      <c r="V231" s="28" t="str">
        <f>HYPERLINK("https://znanium.ru/catalog/product/2107384", "Ознакомиться")</f>
        <v>Ознакомиться</v>
      </c>
      <c r="W231" s="8" t="s">
        <v>1569</v>
      </c>
      <c r="X231" s="6"/>
      <c r="Y231" s="6"/>
      <c r="Z231" s="6"/>
      <c r="AA231" s="6" t="s">
        <v>47</v>
      </c>
    </row>
    <row r="232" spans="1:27" s="4" customFormat="1" ht="51.95" customHeight="1">
      <c r="A232" s="5">
        <v>0</v>
      </c>
      <c r="B232" s="6" t="s">
        <v>1570</v>
      </c>
      <c r="C232" s="7">
        <v>1454</v>
      </c>
      <c r="D232" s="8" t="s">
        <v>1571</v>
      </c>
      <c r="E232" s="8" t="s">
        <v>1572</v>
      </c>
      <c r="F232" s="8" t="s">
        <v>1169</v>
      </c>
      <c r="G232" s="6" t="s">
        <v>123</v>
      </c>
      <c r="H232" s="6" t="s">
        <v>470</v>
      </c>
      <c r="I232" s="8"/>
      <c r="J232" s="9">
        <v>1</v>
      </c>
      <c r="K232" s="9">
        <v>315</v>
      </c>
      <c r="L232" s="9">
        <v>2024</v>
      </c>
      <c r="M232" s="8" t="s">
        <v>1573</v>
      </c>
      <c r="N232" s="8" t="s">
        <v>74</v>
      </c>
      <c r="O232" s="8" t="s">
        <v>109</v>
      </c>
      <c r="P232" s="6" t="s">
        <v>55</v>
      </c>
      <c r="Q232" s="8" t="s">
        <v>56</v>
      </c>
      <c r="R232" s="10" t="s">
        <v>1223</v>
      </c>
      <c r="S232" s="11"/>
      <c r="T232" s="6"/>
      <c r="U232" s="28" t="str">
        <f>HYPERLINK("https://media.infra-m.ru/2094/2094484/cover/2094484.jpg", "Обложка")</f>
        <v>Обложка</v>
      </c>
      <c r="V232" s="28" t="str">
        <f>HYPERLINK("https://znanium.ru/catalog/product/1841710", "Ознакомиться")</f>
        <v>Ознакомиться</v>
      </c>
      <c r="W232" s="8" t="s">
        <v>1165</v>
      </c>
      <c r="X232" s="6"/>
      <c r="Y232" s="6"/>
      <c r="Z232" s="6"/>
      <c r="AA232" s="6" t="s">
        <v>47</v>
      </c>
    </row>
    <row r="233" spans="1:27" s="4" customFormat="1" ht="42" customHeight="1">
      <c r="A233" s="5">
        <v>0</v>
      </c>
      <c r="B233" s="6" t="s">
        <v>1574</v>
      </c>
      <c r="C233" s="7">
        <v>1034</v>
      </c>
      <c r="D233" s="8" t="s">
        <v>1575</v>
      </c>
      <c r="E233" s="8" t="s">
        <v>1576</v>
      </c>
      <c r="F233" s="8" t="s">
        <v>1577</v>
      </c>
      <c r="G233" s="6" t="s">
        <v>123</v>
      </c>
      <c r="H233" s="6" t="s">
        <v>38</v>
      </c>
      <c r="I233" s="8" t="s">
        <v>164</v>
      </c>
      <c r="J233" s="9">
        <v>1</v>
      </c>
      <c r="K233" s="9">
        <v>224</v>
      </c>
      <c r="L233" s="9">
        <v>2024</v>
      </c>
      <c r="M233" s="8" t="s">
        <v>1578</v>
      </c>
      <c r="N233" s="8" t="s">
        <v>74</v>
      </c>
      <c r="O233" s="8" t="s">
        <v>109</v>
      </c>
      <c r="P233" s="6" t="s">
        <v>176</v>
      </c>
      <c r="Q233" s="8" t="s">
        <v>56</v>
      </c>
      <c r="R233" s="10" t="s">
        <v>667</v>
      </c>
      <c r="S233" s="11"/>
      <c r="T233" s="6" t="s">
        <v>190</v>
      </c>
      <c r="U233" s="28" t="str">
        <f>HYPERLINK("https://media.infra-m.ru/2094/2094490/cover/2094490.jpg", "Обложка")</f>
        <v>Обложка</v>
      </c>
      <c r="V233" s="28" t="str">
        <f>HYPERLINK("https://znanium.ru/catalog/product/1851443", "Ознакомиться")</f>
        <v>Ознакомиться</v>
      </c>
      <c r="W233" s="8" t="s">
        <v>1579</v>
      </c>
      <c r="X233" s="6"/>
      <c r="Y233" s="6"/>
      <c r="Z233" s="6"/>
      <c r="AA233" s="6" t="s">
        <v>381</v>
      </c>
    </row>
    <row r="234" spans="1:27" s="4" customFormat="1" ht="44.1" customHeight="1">
      <c r="A234" s="5">
        <v>0</v>
      </c>
      <c r="B234" s="6" t="s">
        <v>1580</v>
      </c>
      <c r="C234" s="7">
        <v>1330</v>
      </c>
      <c r="D234" s="8" t="s">
        <v>1581</v>
      </c>
      <c r="E234" s="8" t="s">
        <v>1582</v>
      </c>
      <c r="F234" s="8" t="s">
        <v>1583</v>
      </c>
      <c r="G234" s="6" t="s">
        <v>37</v>
      </c>
      <c r="H234" s="6" t="s">
        <v>38</v>
      </c>
      <c r="I234" s="8" t="s">
        <v>39</v>
      </c>
      <c r="J234" s="9">
        <v>1</v>
      </c>
      <c r="K234" s="9">
        <v>340</v>
      </c>
      <c r="L234" s="9">
        <v>2022</v>
      </c>
      <c r="M234" s="8" t="s">
        <v>1584</v>
      </c>
      <c r="N234" s="8" t="s">
        <v>74</v>
      </c>
      <c r="O234" s="8" t="s">
        <v>109</v>
      </c>
      <c r="P234" s="6" t="s">
        <v>43</v>
      </c>
      <c r="Q234" s="8" t="s">
        <v>44</v>
      </c>
      <c r="R234" s="10" t="s">
        <v>1585</v>
      </c>
      <c r="S234" s="11"/>
      <c r="T234" s="6"/>
      <c r="U234" s="28" t="str">
        <f>HYPERLINK("https://media.infra-m.ru/1864/1864236/cover/1864236.jpg", "Обложка")</f>
        <v>Обложка</v>
      </c>
      <c r="V234" s="28" t="str">
        <f>HYPERLINK("https://znanium.ru/catalog/product/1864236", "Ознакомиться")</f>
        <v>Ознакомиться</v>
      </c>
      <c r="W234" s="8" t="s">
        <v>1579</v>
      </c>
      <c r="X234" s="6"/>
      <c r="Y234" s="6"/>
      <c r="Z234" s="6"/>
      <c r="AA234" s="6" t="s">
        <v>59</v>
      </c>
    </row>
    <row r="235" spans="1:27" s="4" customFormat="1" ht="51.95" customHeight="1">
      <c r="A235" s="5">
        <v>0</v>
      </c>
      <c r="B235" s="6" t="s">
        <v>1586</v>
      </c>
      <c r="C235" s="13">
        <v>724.9</v>
      </c>
      <c r="D235" s="8" t="s">
        <v>1587</v>
      </c>
      <c r="E235" s="8" t="s">
        <v>1588</v>
      </c>
      <c r="F235" s="8" t="s">
        <v>1589</v>
      </c>
      <c r="G235" s="6" t="s">
        <v>37</v>
      </c>
      <c r="H235" s="6" t="s">
        <v>618</v>
      </c>
      <c r="I235" s="8"/>
      <c r="J235" s="9">
        <v>1</v>
      </c>
      <c r="K235" s="9">
        <v>160</v>
      </c>
      <c r="L235" s="9">
        <v>2023</v>
      </c>
      <c r="M235" s="8" t="s">
        <v>1590</v>
      </c>
      <c r="N235" s="8" t="s">
        <v>41</v>
      </c>
      <c r="O235" s="8" t="s">
        <v>65</v>
      </c>
      <c r="P235" s="6" t="s">
        <v>43</v>
      </c>
      <c r="Q235" s="8" t="s">
        <v>44</v>
      </c>
      <c r="R235" s="10" t="s">
        <v>1591</v>
      </c>
      <c r="S235" s="11"/>
      <c r="T235" s="6"/>
      <c r="U235" s="28" t="str">
        <f>HYPERLINK("https://media.infra-m.ru/2038/2038262/cover/2038262.jpg", "Обложка")</f>
        <v>Обложка</v>
      </c>
      <c r="V235" s="28" t="str">
        <f>HYPERLINK("https://znanium.ru/catalog/product/496820", "Ознакомиться")</f>
        <v>Ознакомиться</v>
      </c>
      <c r="W235" s="8" t="s">
        <v>1592</v>
      </c>
      <c r="X235" s="6"/>
      <c r="Y235" s="6"/>
      <c r="Z235" s="6"/>
      <c r="AA235" s="6" t="s">
        <v>381</v>
      </c>
    </row>
    <row r="236" spans="1:27" s="4" customFormat="1" ht="44.1" customHeight="1">
      <c r="A236" s="5">
        <v>0</v>
      </c>
      <c r="B236" s="6" t="s">
        <v>1593</v>
      </c>
      <c r="C236" s="13">
        <v>824.9</v>
      </c>
      <c r="D236" s="8" t="s">
        <v>1594</v>
      </c>
      <c r="E236" s="8" t="s">
        <v>1595</v>
      </c>
      <c r="F236" s="8" t="s">
        <v>1596</v>
      </c>
      <c r="G236" s="6" t="s">
        <v>123</v>
      </c>
      <c r="H236" s="6" t="s">
        <v>618</v>
      </c>
      <c r="I236" s="8"/>
      <c r="J236" s="9">
        <v>1</v>
      </c>
      <c r="K236" s="9">
        <v>208</v>
      </c>
      <c r="L236" s="9">
        <v>2019</v>
      </c>
      <c r="M236" s="8" t="s">
        <v>1597</v>
      </c>
      <c r="N236" s="8" t="s">
        <v>41</v>
      </c>
      <c r="O236" s="8" t="s">
        <v>65</v>
      </c>
      <c r="P236" s="6" t="s">
        <v>43</v>
      </c>
      <c r="Q236" s="8" t="s">
        <v>44</v>
      </c>
      <c r="R236" s="10" t="s">
        <v>1598</v>
      </c>
      <c r="S236" s="11"/>
      <c r="T236" s="6"/>
      <c r="U236" s="28" t="str">
        <f>HYPERLINK("https://media.infra-m.ru/1012/1012959/cover/1012959.jpg", "Обложка")</f>
        <v>Обложка</v>
      </c>
      <c r="V236" s="28" t="str">
        <f>HYPERLINK("https://znanium.ru/catalog/product/1005575", "Ознакомиться")</f>
        <v>Ознакомиться</v>
      </c>
      <c r="W236" s="8" t="s">
        <v>1592</v>
      </c>
      <c r="X236" s="6"/>
      <c r="Y236" s="6"/>
      <c r="Z236" s="6"/>
      <c r="AA236" s="6" t="s">
        <v>78</v>
      </c>
    </row>
    <row r="237" spans="1:27" s="4" customFormat="1" ht="44.1" customHeight="1">
      <c r="A237" s="5">
        <v>0</v>
      </c>
      <c r="B237" s="6" t="s">
        <v>1599</v>
      </c>
      <c r="C237" s="13">
        <v>630</v>
      </c>
      <c r="D237" s="8" t="s">
        <v>1600</v>
      </c>
      <c r="E237" s="8" t="s">
        <v>1601</v>
      </c>
      <c r="F237" s="8" t="s">
        <v>1602</v>
      </c>
      <c r="G237" s="6" t="s">
        <v>37</v>
      </c>
      <c r="H237" s="6" t="s">
        <v>725</v>
      </c>
      <c r="I237" s="8"/>
      <c r="J237" s="9">
        <v>1</v>
      </c>
      <c r="K237" s="9">
        <v>128</v>
      </c>
      <c r="L237" s="9">
        <v>2024</v>
      </c>
      <c r="M237" s="8" t="s">
        <v>1603</v>
      </c>
      <c r="N237" s="8" t="s">
        <v>41</v>
      </c>
      <c r="O237" s="8" t="s">
        <v>1299</v>
      </c>
      <c r="P237" s="6" t="s">
        <v>1604</v>
      </c>
      <c r="Q237" s="8" t="s">
        <v>1605</v>
      </c>
      <c r="R237" s="10" t="s">
        <v>1606</v>
      </c>
      <c r="S237" s="11"/>
      <c r="T237" s="6"/>
      <c r="U237" s="28" t="str">
        <f>HYPERLINK("https://media.infra-m.ru/2149/2149170/cover/2149170.jpg", "Обложка")</f>
        <v>Обложка</v>
      </c>
      <c r="V237" s="28" t="str">
        <f>HYPERLINK("https://znanium.ru/catalog/product/2149170", "Ознакомиться")</f>
        <v>Ознакомиться</v>
      </c>
      <c r="W237" s="8" t="s">
        <v>1607</v>
      </c>
      <c r="X237" s="6"/>
      <c r="Y237" s="6"/>
      <c r="Z237" s="6"/>
      <c r="AA237" s="6" t="s">
        <v>381</v>
      </c>
    </row>
    <row r="238" spans="1:27" s="4" customFormat="1" ht="51.95" customHeight="1">
      <c r="A238" s="5">
        <v>0</v>
      </c>
      <c r="B238" s="6" t="s">
        <v>1608</v>
      </c>
      <c r="C238" s="13">
        <v>934.9</v>
      </c>
      <c r="D238" s="8" t="s">
        <v>1609</v>
      </c>
      <c r="E238" s="8" t="s">
        <v>1610</v>
      </c>
      <c r="F238" s="8" t="s">
        <v>406</v>
      </c>
      <c r="G238" s="6" t="s">
        <v>83</v>
      </c>
      <c r="H238" s="6" t="s">
        <v>38</v>
      </c>
      <c r="I238" s="8" t="s">
        <v>164</v>
      </c>
      <c r="J238" s="9">
        <v>1</v>
      </c>
      <c r="K238" s="9">
        <v>208</v>
      </c>
      <c r="L238" s="9">
        <v>2023</v>
      </c>
      <c r="M238" s="8" t="s">
        <v>1611</v>
      </c>
      <c r="N238" s="8" t="s">
        <v>74</v>
      </c>
      <c r="O238" s="8" t="s">
        <v>75</v>
      </c>
      <c r="P238" s="6" t="s">
        <v>55</v>
      </c>
      <c r="Q238" s="8" t="s">
        <v>56</v>
      </c>
      <c r="R238" s="10" t="s">
        <v>1612</v>
      </c>
      <c r="S238" s="11" t="s">
        <v>1613</v>
      </c>
      <c r="T238" s="6"/>
      <c r="U238" s="28" t="str">
        <f>HYPERLINK("https://media.infra-m.ru/1903/1903250/cover/1903250.jpg", "Обложка")</f>
        <v>Обложка</v>
      </c>
      <c r="V238" s="28" t="str">
        <f>HYPERLINK("https://znanium.ru/catalog/product/1067431", "Ознакомиться")</f>
        <v>Ознакомиться</v>
      </c>
      <c r="W238" s="8" t="s">
        <v>409</v>
      </c>
      <c r="X238" s="6"/>
      <c r="Y238" s="6"/>
      <c r="Z238" s="6"/>
      <c r="AA238" s="6" t="s">
        <v>169</v>
      </c>
    </row>
    <row r="239" spans="1:27" s="4" customFormat="1" ht="51.95" customHeight="1">
      <c r="A239" s="5">
        <v>0</v>
      </c>
      <c r="B239" s="6" t="s">
        <v>1614</v>
      </c>
      <c r="C239" s="13">
        <v>830</v>
      </c>
      <c r="D239" s="8" t="s">
        <v>1615</v>
      </c>
      <c r="E239" s="8" t="s">
        <v>1616</v>
      </c>
      <c r="F239" s="8" t="s">
        <v>1617</v>
      </c>
      <c r="G239" s="6" t="s">
        <v>37</v>
      </c>
      <c r="H239" s="6" t="s">
        <v>38</v>
      </c>
      <c r="I239" s="8" t="s">
        <v>39</v>
      </c>
      <c r="J239" s="9">
        <v>1</v>
      </c>
      <c r="K239" s="9">
        <v>216</v>
      </c>
      <c r="L239" s="9">
        <v>2022</v>
      </c>
      <c r="M239" s="8" t="s">
        <v>1618</v>
      </c>
      <c r="N239" s="8" t="s">
        <v>74</v>
      </c>
      <c r="O239" s="8" t="s">
        <v>93</v>
      </c>
      <c r="P239" s="6" t="s">
        <v>43</v>
      </c>
      <c r="Q239" s="8" t="s">
        <v>44</v>
      </c>
      <c r="R239" s="10" t="s">
        <v>1619</v>
      </c>
      <c r="S239" s="11"/>
      <c r="T239" s="6"/>
      <c r="U239" s="28" t="str">
        <f>HYPERLINK("https://media.infra-m.ru/1863/1863143/cover/1863143.jpg", "Обложка")</f>
        <v>Обложка</v>
      </c>
      <c r="V239" s="28" t="str">
        <f>HYPERLINK("https://znanium.ru/catalog/product/1863143", "Ознакомиться")</f>
        <v>Ознакомиться</v>
      </c>
      <c r="W239" s="8" t="s">
        <v>355</v>
      </c>
      <c r="X239" s="6"/>
      <c r="Y239" s="6"/>
      <c r="Z239" s="6"/>
      <c r="AA239" s="6" t="s">
        <v>59</v>
      </c>
    </row>
    <row r="240" spans="1:27" s="4" customFormat="1" ht="51.95" customHeight="1">
      <c r="A240" s="5">
        <v>0</v>
      </c>
      <c r="B240" s="6" t="s">
        <v>1620</v>
      </c>
      <c r="C240" s="7">
        <v>2790</v>
      </c>
      <c r="D240" s="8" t="s">
        <v>1621</v>
      </c>
      <c r="E240" s="8" t="s">
        <v>1622</v>
      </c>
      <c r="F240" s="8" t="s">
        <v>1623</v>
      </c>
      <c r="G240" s="6" t="s">
        <v>83</v>
      </c>
      <c r="H240" s="6" t="s">
        <v>470</v>
      </c>
      <c r="I240" s="8" t="s">
        <v>205</v>
      </c>
      <c r="J240" s="9">
        <v>1</v>
      </c>
      <c r="K240" s="9">
        <v>661</v>
      </c>
      <c r="L240" s="9">
        <v>2023</v>
      </c>
      <c r="M240" s="8" t="s">
        <v>1624</v>
      </c>
      <c r="N240" s="8" t="s">
        <v>74</v>
      </c>
      <c r="O240" s="8" t="s">
        <v>394</v>
      </c>
      <c r="P240" s="6" t="s">
        <v>176</v>
      </c>
      <c r="Q240" s="8" t="s">
        <v>207</v>
      </c>
      <c r="R240" s="10" t="s">
        <v>1625</v>
      </c>
      <c r="S240" s="11" t="s">
        <v>1626</v>
      </c>
      <c r="T240" s="6" t="s">
        <v>190</v>
      </c>
      <c r="U240" s="28" t="str">
        <f>HYPERLINK("https://media.infra-m.ru/1995/1995323/cover/1995323.jpg", "Обложка")</f>
        <v>Обложка</v>
      </c>
      <c r="V240" s="28" t="str">
        <f>HYPERLINK("https://znanium.ru/catalog/product/1995323", "Ознакомиться")</f>
        <v>Ознакомиться</v>
      </c>
      <c r="W240" s="8" t="s">
        <v>210</v>
      </c>
      <c r="X240" s="6"/>
      <c r="Y240" s="6"/>
      <c r="Z240" s="6" t="s">
        <v>235</v>
      </c>
      <c r="AA240" s="6" t="s">
        <v>78</v>
      </c>
    </row>
    <row r="241" spans="1:27" s="4" customFormat="1" ht="51.95" customHeight="1">
      <c r="A241" s="5">
        <v>0</v>
      </c>
      <c r="B241" s="6" t="s">
        <v>1627</v>
      </c>
      <c r="C241" s="7">
        <v>2100</v>
      </c>
      <c r="D241" s="8" t="s">
        <v>1628</v>
      </c>
      <c r="E241" s="8" t="s">
        <v>1622</v>
      </c>
      <c r="F241" s="8" t="s">
        <v>1623</v>
      </c>
      <c r="G241" s="6" t="s">
        <v>83</v>
      </c>
      <c r="H241" s="6" t="s">
        <v>470</v>
      </c>
      <c r="I241" s="8" t="s">
        <v>164</v>
      </c>
      <c r="J241" s="9">
        <v>1</v>
      </c>
      <c r="K241" s="9">
        <v>656</v>
      </c>
      <c r="L241" s="9">
        <v>2019</v>
      </c>
      <c r="M241" s="8" t="s">
        <v>1629</v>
      </c>
      <c r="N241" s="8" t="s">
        <v>74</v>
      </c>
      <c r="O241" s="8" t="s">
        <v>394</v>
      </c>
      <c r="P241" s="6" t="s">
        <v>176</v>
      </c>
      <c r="Q241" s="8" t="s">
        <v>56</v>
      </c>
      <c r="R241" s="10" t="s">
        <v>1630</v>
      </c>
      <c r="S241" s="11" t="s">
        <v>1631</v>
      </c>
      <c r="T241" s="6" t="s">
        <v>190</v>
      </c>
      <c r="U241" s="28" t="str">
        <f>HYPERLINK("https://media.infra-m.ru/1020/1020229/cover/1020229.jpg", "Обложка")</f>
        <v>Обложка</v>
      </c>
      <c r="V241" s="28" t="str">
        <f>HYPERLINK("https://znanium.ru/catalog/product/1900575", "Ознакомиться")</f>
        <v>Ознакомиться</v>
      </c>
      <c r="W241" s="8" t="s">
        <v>210</v>
      </c>
      <c r="X241" s="6"/>
      <c r="Y241" s="6"/>
      <c r="Z241" s="6"/>
      <c r="AA241" s="6" t="s">
        <v>68</v>
      </c>
    </row>
    <row r="242" spans="1:27" s="4" customFormat="1" ht="51.95" customHeight="1">
      <c r="A242" s="5">
        <v>0</v>
      </c>
      <c r="B242" s="6" t="s">
        <v>1632</v>
      </c>
      <c r="C242" s="13">
        <v>520</v>
      </c>
      <c r="D242" s="8" t="s">
        <v>1633</v>
      </c>
      <c r="E242" s="8" t="s">
        <v>1634</v>
      </c>
      <c r="F242" s="8" t="s">
        <v>1635</v>
      </c>
      <c r="G242" s="6" t="s">
        <v>37</v>
      </c>
      <c r="H242" s="6" t="s">
        <v>38</v>
      </c>
      <c r="I242" s="8" t="s">
        <v>39</v>
      </c>
      <c r="J242" s="9">
        <v>1</v>
      </c>
      <c r="K242" s="9">
        <v>100</v>
      </c>
      <c r="L242" s="9">
        <v>2024</v>
      </c>
      <c r="M242" s="8" t="s">
        <v>1636</v>
      </c>
      <c r="N242" s="8" t="s">
        <v>41</v>
      </c>
      <c r="O242" s="8" t="s">
        <v>54</v>
      </c>
      <c r="P242" s="6" t="s">
        <v>43</v>
      </c>
      <c r="Q242" s="8" t="s">
        <v>44</v>
      </c>
      <c r="R242" s="10" t="s">
        <v>1637</v>
      </c>
      <c r="S242" s="11"/>
      <c r="T242" s="6"/>
      <c r="U242" s="28" t="str">
        <f>HYPERLINK("https://media.infra-m.ru/2080/2080714/cover/2080714.jpg", "Обложка")</f>
        <v>Обложка</v>
      </c>
      <c r="V242" s="28" t="str">
        <f>HYPERLINK("https://znanium.ru/catalog/product/2080714", "Ознакомиться")</f>
        <v>Ознакомиться</v>
      </c>
      <c r="W242" s="8" t="s">
        <v>1638</v>
      </c>
      <c r="X242" s="6"/>
      <c r="Y242" s="6"/>
      <c r="Z242" s="6"/>
      <c r="AA242" s="6" t="s">
        <v>650</v>
      </c>
    </row>
    <row r="243" spans="1:27" s="4" customFormat="1" ht="51.95" customHeight="1">
      <c r="A243" s="5">
        <v>0</v>
      </c>
      <c r="B243" s="6" t="s">
        <v>1639</v>
      </c>
      <c r="C243" s="13">
        <v>860</v>
      </c>
      <c r="D243" s="8" t="s">
        <v>1640</v>
      </c>
      <c r="E243" s="8" t="s">
        <v>1641</v>
      </c>
      <c r="F243" s="8" t="s">
        <v>1642</v>
      </c>
      <c r="G243" s="6" t="s">
        <v>37</v>
      </c>
      <c r="H243" s="6" t="s">
        <v>38</v>
      </c>
      <c r="I243" s="8" t="s">
        <v>39</v>
      </c>
      <c r="J243" s="9">
        <v>1</v>
      </c>
      <c r="K243" s="9">
        <v>231</v>
      </c>
      <c r="L243" s="9">
        <v>2021</v>
      </c>
      <c r="M243" s="8" t="s">
        <v>1643</v>
      </c>
      <c r="N243" s="8" t="s">
        <v>74</v>
      </c>
      <c r="O243" s="8" t="s">
        <v>93</v>
      </c>
      <c r="P243" s="6" t="s">
        <v>43</v>
      </c>
      <c r="Q243" s="8" t="s">
        <v>44</v>
      </c>
      <c r="R243" s="10" t="s">
        <v>94</v>
      </c>
      <c r="S243" s="11"/>
      <c r="T243" s="6" t="s">
        <v>190</v>
      </c>
      <c r="U243" s="28" t="str">
        <f>HYPERLINK("https://media.infra-m.ru/1190/1190688/cover/1190688.jpg", "Обложка")</f>
        <v>Обложка</v>
      </c>
      <c r="V243" s="28" t="str">
        <f>HYPERLINK("https://znanium.ru/catalog/product/1190688", "Ознакомиться")</f>
        <v>Ознакомиться</v>
      </c>
      <c r="W243" s="8" t="s">
        <v>355</v>
      </c>
      <c r="X243" s="6"/>
      <c r="Y243" s="6"/>
      <c r="Z243" s="6"/>
      <c r="AA243" s="6" t="s">
        <v>59</v>
      </c>
    </row>
    <row r="244" spans="1:27" s="4" customFormat="1" ht="42" customHeight="1">
      <c r="A244" s="5">
        <v>0</v>
      </c>
      <c r="B244" s="6" t="s">
        <v>1644</v>
      </c>
      <c r="C244" s="13">
        <v>954</v>
      </c>
      <c r="D244" s="8" t="s">
        <v>1645</v>
      </c>
      <c r="E244" s="8" t="s">
        <v>1646</v>
      </c>
      <c r="F244" s="8" t="s">
        <v>244</v>
      </c>
      <c r="G244" s="6" t="s">
        <v>37</v>
      </c>
      <c r="H244" s="6" t="s">
        <v>38</v>
      </c>
      <c r="I244" s="8" t="s">
        <v>39</v>
      </c>
      <c r="J244" s="9">
        <v>1</v>
      </c>
      <c r="K244" s="9">
        <v>207</v>
      </c>
      <c r="L244" s="9">
        <v>2024</v>
      </c>
      <c r="M244" s="8" t="s">
        <v>1647</v>
      </c>
      <c r="N244" s="8" t="s">
        <v>74</v>
      </c>
      <c r="O244" s="8" t="s">
        <v>93</v>
      </c>
      <c r="P244" s="6" t="s">
        <v>43</v>
      </c>
      <c r="Q244" s="8" t="s">
        <v>44</v>
      </c>
      <c r="R244" s="10" t="s">
        <v>1648</v>
      </c>
      <c r="S244" s="11"/>
      <c r="T244" s="6"/>
      <c r="U244" s="28" t="str">
        <f>HYPERLINK("https://media.infra-m.ru/2135/2135243/cover/2135243.jpg", "Обложка")</f>
        <v>Обложка</v>
      </c>
      <c r="V244" s="28" t="str">
        <f>HYPERLINK("https://znanium.ru/catalog/product/2135243", "Ознакомиться")</f>
        <v>Ознакомиться</v>
      </c>
      <c r="W244" s="8" t="s">
        <v>247</v>
      </c>
      <c r="X244" s="6"/>
      <c r="Y244" s="6"/>
      <c r="Z244" s="6"/>
      <c r="AA244" s="6" t="s">
        <v>78</v>
      </c>
    </row>
    <row r="245" spans="1:27" s="4" customFormat="1" ht="42" customHeight="1">
      <c r="A245" s="5">
        <v>0</v>
      </c>
      <c r="B245" s="6" t="s">
        <v>1649</v>
      </c>
      <c r="C245" s="13">
        <v>790</v>
      </c>
      <c r="D245" s="8" t="s">
        <v>1650</v>
      </c>
      <c r="E245" s="8" t="s">
        <v>1651</v>
      </c>
      <c r="F245" s="8" t="s">
        <v>244</v>
      </c>
      <c r="G245" s="6" t="s">
        <v>37</v>
      </c>
      <c r="H245" s="6" t="s">
        <v>38</v>
      </c>
      <c r="I245" s="8" t="s">
        <v>39</v>
      </c>
      <c r="J245" s="9">
        <v>1</v>
      </c>
      <c r="K245" s="9">
        <v>167</v>
      </c>
      <c r="L245" s="9">
        <v>2024</v>
      </c>
      <c r="M245" s="8" t="s">
        <v>1652</v>
      </c>
      <c r="N245" s="8" t="s">
        <v>74</v>
      </c>
      <c r="O245" s="8" t="s">
        <v>93</v>
      </c>
      <c r="P245" s="6" t="s">
        <v>43</v>
      </c>
      <c r="Q245" s="8" t="s">
        <v>44</v>
      </c>
      <c r="R245" s="10" t="s">
        <v>1653</v>
      </c>
      <c r="S245" s="11"/>
      <c r="T245" s="6"/>
      <c r="U245" s="28" t="str">
        <f>HYPERLINK("https://media.infra-m.ru/2063/2063388/cover/2063388.jpg", "Обложка")</f>
        <v>Обложка</v>
      </c>
      <c r="V245" s="28" t="str">
        <f>HYPERLINK("https://znanium.ru/catalog/product/2063388", "Ознакомиться")</f>
        <v>Ознакомиться</v>
      </c>
      <c r="W245" s="8" t="s">
        <v>247</v>
      </c>
      <c r="X245" s="6"/>
      <c r="Y245" s="6"/>
      <c r="Z245" s="6"/>
      <c r="AA245" s="6" t="s">
        <v>193</v>
      </c>
    </row>
    <row r="246" spans="1:27" s="4" customFormat="1" ht="51.95" customHeight="1">
      <c r="A246" s="5">
        <v>0</v>
      </c>
      <c r="B246" s="6" t="s">
        <v>1654</v>
      </c>
      <c r="C246" s="7">
        <v>1500</v>
      </c>
      <c r="D246" s="8" t="s">
        <v>1655</v>
      </c>
      <c r="E246" s="8" t="s">
        <v>1656</v>
      </c>
      <c r="F246" s="8" t="s">
        <v>1657</v>
      </c>
      <c r="G246" s="6" t="s">
        <v>83</v>
      </c>
      <c r="H246" s="6" t="s">
        <v>38</v>
      </c>
      <c r="I246" s="8" t="s">
        <v>1658</v>
      </c>
      <c r="J246" s="9">
        <v>1</v>
      </c>
      <c r="K246" s="9">
        <v>358</v>
      </c>
      <c r="L246" s="9">
        <v>2023</v>
      </c>
      <c r="M246" s="8" t="s">
        <v>1659</v>
      </c>
      <c r="N246" s="8" t="s">
        <v>41</v>
      </c>
      <c r="O246" s="8" t="s">
        <v>65</v>
      </c>
      <c r="P246" s="6" t="s">
        <v>43</v>
      </c>
      <c r="Q246" s="8" t="s">
        <v>44</v>
      </c>
      <c r="R246" s="10" t="s">
        <v>1660</v>
      </c>
      <c r="S246" s="11"/>
      <c r="T246" s="6"/>
      <c r="U246" s="28" t="str">
        <f>HYPERLINK("https://media.infra-m.ru/1877/1877143/cover/1877143.jpg", "Обложка")</f>
        <v>Обложка</v>
      </c>
      <c r="V246" s="28" t="str">
        <f>HYPERLINK("https://znanium.ru/catalog/product/1877143", "Ознакомиться")</f>
        <v>Ознакомиться</v>
      </c>
      <c r="W246" s="8" t="s">
        <v>1661</v>
      </c>
      <c r="X246" s="6"/>
      <c r="Y246" s="6"/>
      <c r="Z246" s="6"/>
      <c r="AA246" s="6" t="s">
        <v>364</v>
      </c>
    </row>
    <row r="247" spans="1:27" s="4" customFormat="1" ht="42" customHeight="1">
      <c r="A247" s="5">
        <v>0</v>
      </c>
      <c r="B247" s="6" t="s">
        <v>1662</v>
      </c>
      <c r="C247" s="13">
        <v>804.9</v>
      </c>
      <c r="D247" s="8" t="s">
        <v>1663</v>
      </c>
      <c r="E247" s="8" t="s">
        <v>1664</v>
      </c>
      <c r="F247" s="8" t="s">
        <v>1665</v>
      </c>
      <c r="G247" s="6" t="s">
        <v>37</v>
      </c>
      <c r="H247" s="6" t="s">
        <v>934</v>
      </c>
      <c r="I247" s="8" t="s">
        <v>39</v>
      </c>
      <c r="J247" s="9">
        <v>1</v>
      </c>
      <c r="K247" s="9">
        <v>261</v>
      </c>
      <c r="L247" s="9">
        <v>2018</v>
      </c>
      <c r="M247" s="8" t="s">
        <v>1666</v>
      </c>
      <c r="N247" s="8" t="s">
        <v>74</v>
      </c>
      <c r="O247" s="8" t="s">
        <v>75</v>
      </c>
      <c r="P247" s="6" t="s">
        <v>43</v>
      </c>
      <c r="Q247" s="8" t="s">
        <v>44</v>
      </c>
      <c r="R247" s="10"/>
      <c r="S247" s="11"/>
      <c r="T247" s="6"/>
      <c r="U247" s="28" t="str">
        <f>HYPERLINK("https://media.infra-m.ru/0918/0918115/cover/918115.jpg", "Обложка")</f>
        <v>Обложка</v>
      </c>
      <c r="V247" s="12"/>
      <c r="W247" s="8" t="s">
        <v>159</v>
      </c>
      <c r="X247" s="6"/>
      <c r="Y247" s="6"/>
      <c r="Z247" s="6"/>
      <c r="AA247" s="6" t="s">
        <v>47</v>
      </c>
    </row>
    <row r="248" spans="1:27" s="4" customFormat="1" ht="42" customHeight="1">
      <c r="A248" s="5">
        <v>0</v>
      </c>
      <c r="B248" s="6" t="s">
        <v>1667</v>
      </c>
      <c r="C248" s="13">
        <v>694</v>
      </c>
      <c r="D248" s="8" t="s">
        <v>1668</v>
      </c>
      <c r="E248" s="8" t="s">
        <v>1669</v>
      </c>
      <c r="F248" s="8" t="s">
        <v>1670</v>
      </c>
      <c r="G248" s="6" t="s">
        <v>37</v>
      </c>
      <c r="H248" s="6" t="s">
        <v>52</v>
      </c>
      <c r="I248" s="8"/>
      <c r="J248" s="9">
        <v>1</v>
      </c>
      <c r="K248" s="9">
        <v>144</v>
      </c>
      <c r="L248" s="9">
        <v>2024</v>
      </c>
      <c r="M248" s="8" t="s">
        <v>1671</v>
      </c>
      <c r="N248" s="8" t="s">
        <v>74</v>
      </c>
      <c r="O248" s="8" t="s">
        <v>109</v>
      </c>
      <c r="P248" s="6" t="s">
        <v>43</v>
      </c>
      <c r="Q248" s="8" t="s">
        <v>44</v>
      </c>
      <c r="R248" s="10" t="s">
        <v>1672</v>
      </c>
      <c r="S248" s="11"/>
      <c r="T248" s="6"/>
      <c r="U248" s="28" t="str">
        <f>HYPERLINK("https://media.infra-m.ru/2100/2100974/cover/2100974.jpg", "Обложка")</f>
        <v>Обложка</v>
      </c>
      <c r="V248" s="12"/>
      <c r="W248" s="8" t="s">
        <v>409</v>
      </c>
      <c r="X248" s="6"/>
      <c r="Y248" s="6"/>
      <c r="Z248" s="6"/>
      <c r="AA248" s="6" t="s">
        <v>47</v>
      </c>
    </row>
    <row r="249" spans="1:27" s="4" customFormat="1" ht="44.1" customHeight="1">
      <c r="A249" s="5">
        <v>0</v>
      </c>
      <c r="B249" s="6" t="s">
        <v>1673</v>
      </c>
      <c r="C249" s="13">
        <v>304</v>
      </c>
      <c r="D249" s="8" t="s">
        <v>1674</v>
      </c>
      <c r="E249" s="8" t="s">
        <v>1675</v>
      </c>
      <c r="F249" s="8" t="s">
        <v>1676</v>
      </c>
      <c r="G249" s="6" t="s">
        <v>37</v>
      </c>
      <c r="H249" s="6" t="s">
        <v>52</v>
      </c>
      <c r="I249" s="8"/>
      <c r="J249" s="9">
        <v>1</v>
      </c>
      <c r="K249" s="9">
        <v>64</v>
      </c>
      <c r="L249" s="9">
        <v>2024</v>
      </c>
      <c r="M249" s="8" t="s">
        <v>1677</v>
      </c>
      <c r="N249" s="8" t="s">
        <v>74</v>
      </c>
      <c r="O249" s="8" t="s">
        <v>109</v>
      </c>
      <c r="P249" s="6" t="s">
        <v>43</v>
      </c>
      <c r="Q249" s="8" t="s">
        <v>44</v>
      </c>
      <c r="R249" s="10" t="s">
        <v>1678</v>
      </c>
      <c r="S249" s="11"/>
      <c r="T249" s="6"/>
      <c r="U249" s="28" t="str">
        <f>HYPERLINK("https://media.infra-m.ru/2102/2102697/cover/2102697.jpg", "Обложка")</f>
        <v>Обложка</v>
      </c>
      <c r="V249" s="28" t="str">
        <f>HYPERLINK("https://znanium.ru/catalog/product/537827", "Ознакомиться")</f>
        <v>Ознакомиться</v>
      </c>
      <c r="W249" s="8" t="s">
        <v>1679</v>
      </c>
      <c r="X249" s="6"/>
      <c r="Y249" s="6"/>
      <c r="Z249" s="6"/>
      <c r="AA249" s="6" t="s">
        <v>1500</v>
      </c>
    </row>
    <row r="250" spans="1:27" s="4" customFormat="1" ht="51.95" customHeight="1">
      <c r="A250" s="5">
        <v>0</v>
      </c>
      <c r="B250" s="6" t="s">
        <v>1680</v>
      </c>
      <c r="C250" s="13">
        <v>720</v>
      </c>
      <c r="D250" s="8" t="s">
        <v>1681</v>
      </c>
      <c r="E250" s="8" t="s">
        <v>1682</v>
      </c>
      <c r="F250" s="8" t="s">
        <v>1683</v>
      </c>
      <c r="G250" s="6" t="s">
        <v>37</v>
      </c>
      <c r="H250" s="6" t="s">
        <v>38</v>
      </c>
      <c r="I250" s="8" t="s">
        <v>1684</v>
      </c>
      <c r="J250" s="9">
        <v>1</v>
      </c>
      <c r="K250" s="9">
        <v>205</v>
      </c>
      <c r="L250" s="9">
        <v>2020</v>
      </c>
      <c r="M250" s="8" t="s">
        <v>1685</v>
      </c>
      <c r="N250" s="8" t="s">
        <v>74</v>
      </c>
      <c r="O250" s="8" t="s">
        <v>75</v>
      </c>
      <c r="P250" s="6" t="s">
        <v>43</v>
      </c>
      <c r="Q250" s="8" t="s">
        <v>44</v>
      </c>
      <c r="R250" s="10" t="s">
        <v>1686</v>
      </c>
      <c r="S250" s="11"/>
      <c r="T250" s="6"/>
      <c r="U250" s="28" t="str">
        <f>HYPERLINK("https://media.infra-m.ru/1077/1077732/cover/1077732.jpg", "Обложка")</f>
        <v>Обложка</v>
      </c>
      <c r="V250" s="28" t="str">
        <f>HYPERLINK("https://znanium.ru/catalog/product/1077732", "Ознакомиться")</f>
        <v>Ознакомиться</v>
      </c>
      <c r="W250" s="8" t="s">
        <v>557</v>
      </c>
      <c r="X250" s="6"/>
      <c r="Y250" s="6"/>
      <c r="Z250" s="6"/>
      <c r="AA250" s="6" t="s">
        <v>141</v>
      </c>
    </row>
    <row r="251" spans="1:27" s="4" customFormat="1" ht="51.95" customHeight="1">
      <c r="A251" s="5">
        <v>0</v>
      </c>
      <c r="B251" s="6" t="s">
        <v>1687</v>
      </c>
      <c r="C251" s="13">
        <v>714</v>
      </c>
      <c r="D251" s="8" t="s">
        <v>1688</v>
      </c>
      <c r="E251" s="8" t="s">
        <v>1689</v>
      </c>
      <c r="F251" s="8" t="s">
        <v>400</v>
      </c>
      <c r="G251" s="6" t="s">
        <v>37</v>
      </c>
      <c r="H251" s="6" t="s">
        <v>38</v>
      </c>
      <c r="I251" s="8" t="s">
        <v>39</v>
      </c>
      <c r="J251" s="9">
        <v>1</v>
      </c>
      <c r="K251" s="9">
        <v>157</v>
      </c>
      <c r="L251" s="9">
        <v>2023</v>
      </c>
      <c r="M251" s="8" t="s">
        <v>1690</v>
      </c>
      <c r="N251" s="8" t="s">
        <v>74</v>
      </c>
      <c r="O251" s="8" t="s">
        <v>93</v>
      </c>
      <c r="P251" s="6" t="s">
        <v>43</v>
      </c>
      <c r="Q251" s="8" t="s">
        <v>44</v>
      </c>
      <c r="R251" s="10" t="s">
        <v>94</v>
      </c>
      <c r="S251" s="11"/>
      <c r="T251" s="6"/>
      <c r="U251" s="28" t="str">
        <f>HYPERLINK("https://media.infra-m.ru/2030/2030867/cover/2030867.jpg", "Обложка")</f>
        <v>Обложка</v>
      </c>
      <c r="V251" s="28" t="str">
        <f>HYPERLINK("https://znanium.ru/catalog/product/2030867", "Ознакомиться")</f>
        <v>Ознакомиться</v>
      </c>
      <c r="W251" s="8" t="s">
        <v>402</v>
      </c>
      <c r="X251" s="6"/>
      <c r="Y251" s="6"/>
      <c r="Z251" s="6"/>
      <c r="AA251" s="6" t="s">
        <v>78</v>
      </c>
    </row>
    <row r="252" spans="1:27" s="4" customFormat="1" ht="44.1" customHeight="1">
      <c r="A252" s="5">
        <v>0</v>
      </c>
      <c r="B252" s="6" t="s">
        <v>1691</v>
      </c>
      <c r="C252" s="13">
        <v>980</v>
      </c>
      <c r="D252" s="8" t="s">
        <v>1692</v>
      </c>
      <c r="E252" s="8" t="s">
        <v>1693</v>
      </c>
      <c r="F252" s="8" t="s">
        <v>1694</v>
      </c>
      <c r="G252" s="6" t="s">
        <v>37</v>
      </c>
      <c r="H252" s="6" t="s">
        <v>38</v>
      </c>
      <c r="I252" s="8" t="s">
        <v>39</v>
      </c>
      <c r="J252" s="9">
        <v>1</v>
      </c>
      <c r="K252" s="9">
        <v>218</v>
      </c>
      <c r="L252" s="9">
        <v>2023</v>
      </c>
      <c r="M252" s="8" t="s">
        <v>1695</v>
      </c>
      <c r="N252" s="8" t="s">
        <v>74</v>
      </c>
      <c r="O252" s="8" t="s">
        <v>109</v>
      </c>
      <c r="P252" s="6" t="s">
        <v>43</v>
      </c>
      <c r="Q252" s="8" t="s">
        <v>44</v>
      </c>
      <c r="R252" s="10" t="s">
        <v>1696</v>
      </c>
      <c r="S252" s="11"/>
      <c r="T252" s="6"/>
      <c r="U252" s="28" t="str">
        <f>HYPERLINK("https://media.infra-m.ru/1911/1911533/cover/1911533.jpg", "Обложка")</f>
        <v>Обложка</v>
      </c>
      <c r="V252" s="28" t="str">
        <f>HYPERLINK("https://znanium.ru/catalog/product/1911533", "Ознакомиться")</f>
        <v>Ознакомиться</v>
      </c>
      <c r="W252" s="8" t="s">
        <v>341</v>
      </c>
      <c r="X252" s="6"/>
      <c r="Y252" s="6"/>
      <c r="Z252" s="6"/>
      <c r="AA252" s="6" t="s">
        <v>111</v>
      </c>
    </row>
    <row r="253" spans="1:27" s="4" customFormat="1" ht="51.95" customHeight="1">
      <c r="A253" s="5">
        <v>0</v>
      </c>
      <c r="B253" s="6" t="s">
        <v>1697</v>
      </c>
      <c r="C253" s="13">
        <v>850</v>
      </c>
      <c r="D253" s="8" t="s">
        <v>1698</v>
      </c>
      <c r="E253" s="8" t="s">
        <v>1699</v>
      </c>
      <c r="F253" s="8" t="s">
        <v>1700</v>
      </c>
      <c r="G253" s="6" t="s">
        <v>83</v>
      </c>
      <c r="H253" s="6" t="s">
        <v>1701</v>
      </c>
      <c r="I253" s="8" t="s">
        <v>155</v>
      </c>
      <c r="J253" s="9">
        <v>1</v>
      </c>
      <c r="K253" s="9">
        <v>176</v>
      </c>
      <c r="L253" s="9">
        <v>2024</v>
      </c>
      <c r="M253" s="8" t="s">
        <v>1702</v>
      </c>
      <c r="N253" s="8" t="s">
        <v>41</v>
      </c>
      <c r="O253" s="8" t="s">
        <v>54</v>
      </c>
      <c r="P253" s="6" t="s">
        <v>55</v>
      </c>
      <c r="Q253" s="8" t="s">
        <v>56</v>
      </c>
      <c r="R253" s="10" t="s">
        <v>1703</v>
      </c>
      <c r="S253" s="11" t="s">
        <v>1704</v>
      </c>
      <c r="T253" s="6"/>
      <c r="U253" s="28" t="str">
        <f>HYPERLINK("https://media.infra-m.ru/2096/2096935/cover/2096935.jpg", "Обложка")</f>
        <v>Обложка</v>
      </c>
      <c r="V253" s="28" t="str">
        <f>HYPERLINK("https://znanium.ru/catalog/product/2096935", "Ознакомиться")</f>
        <v>Ознакомиться</v>
      </c>
      <c r="W253" s="8" t="s">
        <v>1705</v>
      </c>
      <c r="X253" s="6"/>
      <c r="Y253" s="6"/>
      <c r="Z253" s="6"/>
      <c r="AA253" s="6" t="s">
        <v>59</v>
      </c>
    </row>
    <row r="254" spans="1:27" s="4" customFormat="1" ht="42" customHeight="1">
      <c r="A254" s="5">
        <v>0</v>
      </c>
      <c r="B254" s="6" t="s">
        <v>1706</v>
      </c>
      <c r="C254" s="7">
        <v>1190</v>
      </c>
      <c r="D254" s="8" t="s">
        <v>1707</v>
      </c>
      <c r="E254" s="8" t="s">
        <v>1708</v>
      </c>
      <c r="F254" s="8" t="s">
        <v>400</v>
      </c>
      <c r="G254" s="6" t="s">
        <v>123</v>
      </c>
      <c r="H254" s="6" t="s">
        <v>38</v>
      </c>
      <c r="I254" s="8" t="s">
        <v>39</v>
      </c>
      <c r="J254" s="9">
        <v>1</v>
      </c>
      <c r="K254" s="9">
        <v>263</v>
      </c>
      <c r="L254" s="9">
        <v>2023</v>
      </c>
      <c r="M254" s="8" t="s">
        <v>1709</v>
      </c>
      <c r="N254" s="8" t="s">
        <v>74</v>
      </c>
      <c r="O254" s="8" t="s">
        <v>93</v>
      </c>
      <c r="P254" s="6" t="s">
        <v>43</v>
      </c>
      <c r="Q254" s="8" t="s">
        <v>44</v>
      </c>
      <c r="R254" s="10" t="s">
        <v>1710</v>
      </c>
      <c r="S254" s="11"/>
      <c r="T254" s="6"/>
      <c r="U254" s="28" t="str">
        <f>HYPERLINK("https://media.infra-m.ru/1898/1898396/cover/1898396.jpg", "Обложка")</f>
        <v>Обложка</v>
      </c>
      <c r="V254" s="28" t="str">
        <f>HYPERLINK("https://znanium.ru/catalog/product/1898396", "Ознакомиться")</f>
        <v>Ознакомиться</v>
      </c>
      <c r="W254" s="8" t="s">
        <v>402</v>
      </c>
      <c r="X254" s="6"/>
      <c r="Y254" s="6"/>
      <c r="Z254" s="6"/>
      <c r="AA254" s="6" t="s">
        <v>111</v>
      </c>
    </row>
    <row r="255" spans="1:27" s="4" customFormat="1" ht="42" customHeight="1">
      <c r="A255" s="5">
        <v>0</v>
      </c>
      <c r="B255" s="6" t="s">
        <v>1711</v>
      </c>
      <c r="C255" s="13">
        <v>970</v>
      </c>
      <c r="D255" s="8" t="s">
        <v>1712</v>
      </c>
      <c r="E255" s="8" t="s">
        <v>1713</v>
      </c>
      <c r="F255" s="8" t="s">
        <v>1714</v>
      </c>
      <c r="G255" s="6" t="s">
        <v>37</v>
      </c>
      <c r="H255" s="6" t="s">
        <v>38</v>
      </c>
      <c r="I255" s="8" t="s">
        <v>39</v>
      </c>
      <c r="J255" s="9">
        <v>1</v>
      </c>
      <c r="K255" s="9">
        <v>216</v>
      </c>
      <c r="L255" s="9">
        <v>2023</v>
      </c>
      <c r="M255" s="8" t="s">
        <v>1715</v>
      </c>
      <c r="N255" s="8" t="s">
        <v>41</v>
      </c>
      <c r="O255" s="8" t="s">
        <v>42</v>
      </c>
      <c r="P255" s="6" t="s">
        <v>43</v>
      </c>
      <c r="Q255" s="8" t="s">
        <v>44</v>
      </c>
      <c r="R255" s="10" t="s">
        <v>1716</v>
      </c>
      <c r="S255" s="11"/>
      <c r="T255" s="6"/>
      <c r="U255" s="28" t="str">
        <f>HYPERLINK("https://media.infra-m.ru/1913/1913785/cover/1913785.jpg", "Обложка")</f>
        <v>Обложка</v>
      </c>
      <c r="V255" s="28" t="str">
        <f>HYPERLINK("https://znanium.ru/catalog/product/1913785", "Ознакомиться")</f>
        <v>Ознакомиться</v>
      </c>
      <c r="W255" s="8" t="s">
        <v>1717</v>
      </c>
      <c r="X255" s="6"/>
      <c r="Y255" s="6"/>
      <c r="Z255" s="6"/>
      <c r="AA255" s="6" t="s">
        <v>68</v>
      </c>
    </row>
    <row r="256" spans="1:27" s="4" customFormat="1" ht="51.95" customHeight="1">
      <c r="A256" s="5">
        <v>0</v>
      </c>
      <c r="B256" s="6" t="s">
        <v>1718</v>
      </c>
      <c r="C256" s="7">
        <v>1314</v>
      </c>
      <c r="D256" s="8" t="s">
        <v>1719</v>
      </c>
      <c r="E256" s="8" t="s">
        <v>1720</v>
      </c>
      <c r="F256" s="8" t="s">
        <v>1721</v>
      </c>
      <c r="G256" s="6" t="s">
        <v>37</v>
      </c>
      <c r="H256" s="6" t="s">
        <v>38</v>
      </c>
      <c r="I256" s="8" t="s">
        <v>164</v>
      </c>
      <c r="J256" s="9">
        <v>1</v>
      </c>
      <c r="K256" s="9">
        <v>285</v>
      </c>
      <c r="L256" s="9">
        <v>2023</v>
      </c>
      <c r="M256" s="8" t="s">
        <v>1722</v>
      </c>
      <c r="N256" s="8" t="s">
        <v>41</v>
      </c>
      <c r="O256" s="8" t="s">
        <v>65</v>
      </c>
      <c r="P256" s="6" t="s">
        <v>55</v>
      </c>
      <c r="Q256" s="8" t="s">
        <v>56</v>
      </c>
      <c r="R256" s="10" t="s">
        <v>1723</v>
      </c>
      <c r="S256" s="11" t="s">
        <v>1724</v>
      </c>
      <c r="T256" s="6"/>
      <c r="U256" s="28" t="str">
        <f>HYPERLINK("https://media.infra-m.ru/1911/1911796/cover/1911796.jpg", "Обложка")</f>
        <v>Обложка</v>
      </c>
      <c r="V256" s="28" t="str">
        <f>HYPERLINK("https://znanium.ru/catalog/product/1063725", "Ознакомиться")</f>
        <v>Ознакомиться</v>
      </c>
      <c r="W256" s="8" t="s">
        <v>1028</v>
      </c>
      <c r="X256" s="6"/>
      <c r="Y256" s="6"/>
      <c r="Z256" s="6"/>
      <c r="AA256" s="6" t="s">
        <v>364</v>
      </c>
    </row>
    <row r="257" spans="1:27" s="4" customFormat="1" ht="51.95" customHeight="1">
      <c r="A257" s="5">
        <v>0</v>
      </c>
      <c r="B257" s="6" t="s">
        <v>1725</v>
      </c>
      <c r="C257" s="7">
        <v>1240</v>
      </c>
      <c r="D257" s="8" t="s">
        <v>1726</v>
      </c>
      <c r="E257" s="8" t="s">
        <v>1727</v>
      </c>
      <c r="F257" s="8" t="s">
        <v>1728</v>
      </c>
      <c r="G257" s="6" t="s">
        <v>83</v>
      </c>
      <c r="H257" s="6" t="s">
        <v>38</v>
      </c>
      <c r="I257" s="8" t="s">
        <v>155</v>
      </c>
      <c r="J257" s="9">
        <v>1</v>
      </c>
      <c r="K257" s="9">
        <v>263</v>
      </c>
      <c r="L257" s="9">
        <v>2024</v>
      </c>
      <c r="M257" s="8" t="s">
        <v>1729</v>
      </c>
      <c r="N257" s="8" t="s">
        <v>41</v>
      </c>
      <c r="O257" s="8" t="s">
        <v>54</v>
      </c>
      <c r="P257" s="6" t="s">
        <v>55</v>
      </c>
      <c r="Q257" s="8" t="s">
        <v>56</v>
      </c>
      <c r="R257" s="10" t="s">
        <v>1730</v>
      </c>
      <c r="S257" s="11" t="s">
        <v>1731</v>
      </c>
      <c r="T257" s="6"/>
      <c r="U257" s="28" t="str">
        <f>HYPERLINK("https://media.infra-m.ru/2138/2138943/cover/2138943.jpg", "Обложка")</f>
        <v>Обложка</v>
      </c>
      <c r="V257" s="28" t="str">
        <f>HYPERLINK("https://znanium.ru/catalog/product/2138943", "Ознакомиться")</f>
        <v>Ознакомиться</v>
      </c>
      <c r="W257" s="8" t="s">
        <v>1732</v>
      </c>
      <c r="X257" s="6"/>
      <c r="Y257" s="6"/>
      <c r="Z257" s="6"/>
      <c r="AA257" s="6" t="s">
        <v>78</v>
      </c>
    </row>
    <row r="258" spans="1:27" s="4" customFormat="1" ht="51.95" customHeight="1">
      <c r="A258" s="5">
        <v>0</v>
      </c>
      <c r="B258" s="6" t="s">
        <v>1733</v>
      </c>
      <c r="C258" s="7">
        <v>1840</v>
      </c>
      <c r="D258" s="8" t="s">
        <v>1734</v>
      </c>
      <c r="E258" s="8" t="s">
        <v>1735</v>
      </c>
      <c r="F258" s="8" t="s">
        <v>1736</v>
      </c>
      <c r="G258" s="6" t="s">
        <v>83</v>
      </c>
      <c r="H258" s="6" t="s">
        <v>38</v>
      </c>
      <c r="I258" s="8" t="s">
        <v>155</v>
      </c>
      <c r="J258" s="9">
        <v>1</v>
      </c>
      <c r="K258" s="9">
        <v>398</v>
      </c>
      <c r="L258" s="9">
        <v>2024</v>
      </c>
      <c r="M258" s="8" t="s">
        <v>1737</v>
      </c>
      <c r="N258" s="8" t="s">
        <v>41</v>
      </c>
      <c r="O258" s="8" t="s">
        <v>65</v>
      </c>
      <c r="P258" s="6" t="s">
        <v>55</v>
      </c>
      <c r="Q258" s="8" t="s">
        <v>56</v>
      </c>
      <c r="R258" s="10" t="s">
        <v>1738</v>
      </c>
      <c r="S258" s="11" t="s">
        <v>1739</v>
      </c>
      <c r="T258" s="6" t="s">
        <v>190</v>
      </c>
      <c r="U258" s="28" t="str">
        <f>HYPERLINK("https://media.infra-m.ru/2122/2122487/cover/2122487.jpg", "Обложка")</f>
        <v>Обложка</v>
      </c>
      <c r="V258" s="28" t="str">
        <f>HYPERLINK("https://znanium.ru/catalog/product/2122487", "Ознакомиться")</f>
        <v>Ознакомиться</v>
      </c>
      <c r="W258" s="8" t="s">
        <v>1740</v>
      </c>
      <c r="X258" s="6"/>
      <c r="Y258" s="6"/>
      <c r="Z258" s="6"/>
      <c r="AA258" s="6" t="s">
        <v>68</v>
      </c>
    </row>
    <row r="259" spans="1:27" s="4" customFormat="1" ht="51.95" customHeight="1">
      <c r="A259" s="5">
        <v>0</v>
      </c>
      <c r="B259" s="6" t="s">
        <v>1741</v>
      </c>
      <c r="C259" s="13">
        <v>844.9</v>
      </c>
      <c r="D259" s="8" t="s">
        <v>1742</v>
      </c>
      <c r="E259" s="8" t="s">
        <v>1743</v>
      </c>
      <c r="F259" s="8" t="s">
        <v>1744</v>
      </c>
      <c r="G259" s="6" t="s">
        <v>37</v>
      </c>
      <c r="H259" s="6" t="s">
        <v>38</v>
      </c>
      <c r="I259" s="8" t="s">
        <v>39</v>
      </c>
      <c r="J259" s="9">
        <v>1</v>
      </c>
      <c r="K259" s="9">
        <v>272</v>
      </c>
      <c r="L259" s="9">
        <v>2017</v>
      </c>
      <c r="M259" s="8" t="s">
        <v>1745</v>
      </c>
      <c r="N259" s="8" t="s">
        <v>41</v>
      </c>
      <c r="O259" s="8" t="s">
        <v>65</v>
      </c>
      <c r="P259" s="6" t="s">
        <v>43</v>
      </c>
      <c r="Q259" s="8" t="s">
        <v>44</v>
      </c>
      <c r="R259" s="10" t="s">
        <v>1746</v>
      </c>
      <c r="S259" s="11"/>
      <c r="T259" s="6"/>
      <c r="U259" s="12"/>
      <c r="V259" s="28" t="str">
        <f>HYPERLINK("https://znanium.ru/catalog/product/1759762", "Ознакомиться")</f>
        <v>Ознакомиться</v>
      </c>
      <c r="W259" s="8" t="s">
        <v>1747</v>
      </c>
      <c r="X259" s="6"/>
      <c r="Y259" s="6"/>
      <c r="Z259" s="6"/>
      <c r="AA259" s="6" t="s">
        <v>59</v>
      </c>
    </row>
    <row r="260" spans="1:27" s="4" customFormat="1" ht="42" customHeight="1">
      <c r="A260" s="5">
        <v>0</v>
      </c>
      <c r="B260" s="6" t="s">
        <v>1748</v>
      </c>
      <c r="C260" s="7">
        <v>1110</v>
      </c>
      <c r="D260" s="8" t="s">
        <v>1749</v>
      </c>
      <c r="E260" s="8" t="s">
        <v>1750</v>
      </c>
      <c r="F260" s="8" t="s">
        <v>223</v>
      </c>
      <c r="G260" s="6" t="s">
        <v>37</v>
      </c>
      <c r="H260" s="6" t="s">
        <v>38</v>
      </c>
      <c r="I260" s="8" t="s">
        <v>39</v>
      </c>
      <c r="J260" s="9">
        <v>1</v>
      </c>
      <c r="K260" s="9">
        <v>240</v>
      </c>
      <c r="L260" s="9">
        <v>2024</v>
      </c>
      <c r="M260" s="8" t="s">
        <v>1751</v>
      </c>
      <c r="N260" s="8" t="s">
        <v>74</v>
      </c>
      <c r="O260" s="8" t="s">
        <v>93</v>
      </c>
      <c r="P260" s="6" t="s">
        <v>43</v>
      </c>
      <c r="Q260" s="8" t="s">
        <v>44</v>
      </c>
      <c r="R260" s="10" t="s">
        <v>1710</v>
      </c>
      <c r="S260" s="11"/>
      <c r="T260" s="6"/>
      <c r="U260" s="28" t="str">
        <f>HYPERLINK("https://media.infra-m.ru/2083/2083360/cover/2083360.jpg", "Обложка")</f>
        <v>Обложка</v>
      </c>
      <c r="V260" s="28" t="str">
        <f>HYPERLINK("https://znanium.ru/catalog/product/2083360", "Ознакомиться")</f>
        <v>Ознакомиться</v>
      </c>
      <c r="W260" s="8" t="s">
        <v>226</v>
      </c>
      <c r="X260" s="6"/>
      <c r="Y260" s="6"/>
      <c r="Z260" s="6"/>
      <c r="AA260" s="6" t="s">
        <v>103</v>
      </c>
    </row>
    <row r="261" spans="1:27" s="4" customFormat="1" ht="44.1" customHeight="1">
      <c r="A261" s="5">
        <v>0</v>
      </c>
      <c r="B261" s="6" t="s">
        <v>1752</v>
      </c>
      <c r="C261" s="7">
        <v>1704.9</v>
      </c>
      <c r="D261" s="8" t="s">
        <v>1753</v>
      </c>
      <c r="E261" s="8" t="s">
        <v>1754</v>
      </c>
      <c r="F261" s="8" t="s">
        <v>1755</v>
      </c>
      <c r="G261" s="6" t="s">
        <v>123</v>
      </c>
      <c r="H261" s="6" t="s">
        <v>934</v>
      </c>
      <c r="I261" s="8"/>
      <c r="J261" s="9">
        <v>1</v>
      </c>
      <c r="K261" s="9">
        <v>378</v>
      </c>
      <c r="L261" s="9">
        <v>2023</v>
      </c>
      <c r="M261" s="8" t="s">
        <v>1756</v>
      </c>
      <c r="N261" s="8" t="s">
        <v>74</v>
      </c>
      <c r="O261" s="8" t="s">
        <v>75</v>
      </c>
      <c r="P261" s="6" t="s">
        <v>43</v>
      </c>
      <c r="Q261" s="8" t="s">
        <v>44</v>
      </c>
      <c r="R261" s="10" t="s">
        <v>1757</v>
      </c>
      <c r="S261" s="11"/>
      <c r="T261" s="6"/>
      <c r="U261" s="28" t="str">
        <f>HYPERLINK("https://media.infra-m.ru/2019/2019769/cover/2019769.jpg", "Обложка")</f>
        <v>Обложка</v>
      </c>
      <c r="V261" s="12"/>
      <c r="W261" s="8" t="s">
        <v>1028</v>
      </c>
      <c r="X261" s="6"/>
      <c r="Y261" s="6"/>
      <c r="Z261" s="6"/>
      <c r="AA261" s="6" t="s">
        <v>96</v>
      </c>
    </row>
    <row r="262" spans="1:27" s="4" customFormat="1" ht="51.95" customHeight="1">
      <c r="A262" s="5">
        <v>0</v>
      </c>
      <c r="B262" s="6" t="s">
        <v>1758</v>
      </c>
      <c r="C262" s="7">
        <v>1590</v>
      </c>
      <c r="D262" s="8" t="s">
        <v>1759</v>
      </c>
      <c r="E262" s="8" t="s">
        <v>1760</v>
      </c>
      <c r="F262" s="8" t="s">
        <v>1761</v>
      </c>
      <c r="G262" s="6" t="s">
        <v>37</v>
      </c>
      <c r="H262" s="6" t="s">
        <v>38</v>
      </c>
      <c r="I262" s="8" t="s">
        <v>39</v>
      </c>
      <c r="J262" s="9">
        <v>1</v>
      </c>
      <c r="K262" s="9">
        <v>358</v>
      </c>
      <c r="L262" s="9">
        <v>2023</v>
      </c>
      <c r="M262" s="8" t="s">
        <v>1762</v>
      </c>
      <c r="N262" s="8" t="s">
        <v>41</v>
      </c>
      <c r="O262" s="8" t="s">
        <v>54</v>
      </c>
      <c r="P262" s="6" t="s">
        <v>43</v>
      </c>
      <c r="Q262" s="8" t="s">
        <v>44</v>
      </c>
      <c r="R262" s="10" t="s">
        <v>1763</v>
      </c>
      <c r="S262" s="11"/>
      <c r="T262" s="6"/>
      <c r="U262" s="28" t="str">
        <f>HYPERLINK("https://media.infra-m.ru/1868/1868918/cover/1868918.jpg", "Обложка")</f>
        <v>Обложка</v>
      </c>
      <c r="V262" s="28" t="str">
        <f>HYPERLINK("https://znanium.ru/catalog/product/1868918", "Ознакомиться")</f>
        <v>Ознакомиться</v>
      </c>
      <c r="W262" s="8" t="s">
        <v>1764</v>
      </c>
      <c r="X262" s="6"/>
      <c r="Y262" s="6"/>
      <c r="Z262" s="6"/>
      <c r="AA262" s="6" t="s">
        <v>111</v>
      </c>
    </row>
    <row r="263" spans="1:27" s="4" customFormat="1" ht="51.95" customHeight="1">
      <c r="A263" s="5">
        <v>0</v>
      </c>
      <c r="B263" s="6" t="s">
        <v>1765</v>
      </c>
      <c r="C263" s="13">
        <v>704</v>
      </c>
      <c r="D263" s="8" t="s">
        <v>1766</v>
      </c>
      <c r="E263" s="8" t="s">
        <v>1767</v>
      </c>
      <c r="F263" s="8" t="s">
        <v>1768</v>
      </c>
      <c r="G263" s="6" t="s">
        <v>37</v>
      </c>
      <c r="H263" s="6" t="s">
        <v>38</v>
      </c>
      <c r="I263" s="8" t="s">
        <v>164</v>
      </c>
      <c r="J263" s="9">
        <v>1</v>
      </c>
      <c r="K263" s="9">
        <v>154</v>
      </c>
      <c r="L263" s="9">
        <v>2023</v>
      </c>
      <c r="M263" s="8" t="s">
        <v>1769</v>
      </c>
      <c r="N263" s="8" t="s">
        <v>74</v>
      </c>
      <c r="O263" s="8" t="s">
        <v>109</v>
      </c>
      <c r="P263" s="6" t="s">
        <v>55</v>
      </c>
      <c r="Q263" s="8" t="s">
        <v>56</v>
      </c>
      <c r="R263" s="10" t="s">
        <v>1229</v>
      </c>
      <c r="S263" s="11" t="s">
        <v>1770</v>
      </c>
      <c r="T263" s="6"/>
      <c r="U263" s="28" t="str">
        <f>HYPERLINK("https://media.infra-m.ru/2001/2001684/cover/2001684.jpg", "Обложка")</f>
        <v>Обложка</v>
      </c>
      <c r="V263" s="28" t="str">
        <f>HYPERLINK("https://znanium.ru/catalog/product/1895651", "Ознакомиться")</f>
        <v>Ознакомиться</v>
      </c>
      <c r="W263" s="8" t="s">
        <v>1771</v>
      </c>
      <c r="X263" s="6"/>
      <c r="Y263" s="6"/>
      <c r="Z263" s="6"/>
      <c r="AA263" s="6" t="s">
        <v>1772</v>
      </c>
    </row>
    <row r="264" spans="1:27" s="4" customFormat="1" ht="51.95" customHeight="1">
      <c r="A264" s="5">
        <v>0</v>
      </c>
      <c r="B264" s="6" t="s">
        <v>1773</v>
      </c>
      <c r="C264" s="7">
        <v>1474</v>
      </c>
      <c r="D264" s="8" t="s">
        <v>1774</v>
      </c>
      <c r="E264" s="8" t="s">
        <v>1775</v>
      </c>
      <c r="F264" s="8" t="s">
        <v>1776</v>
      </c>
      <c r="G264" s="6" t="s">
        <v>37</v>
      </c>
      <c r="H264" s="6" t="s">
        <v>52</v>
      </c>
      <c r="I264" s="8" t="s">
        <v>1777</v>
      </c>
      <c r="J264" s="9">
        <v>1</v>
      </c>
      <c r="K264" s="9">
        <v>319</v>
      </c>
      <c r="L264" s="9">
        <v>2023</v>
      </c>
      <c r="M264" s="8" t="s">
        <v>1778</v>
      </c>
      <c r="N264" s="8" t="s">
        <v>74</v>
      </c>
      <c r="O264" s="8" t="s">
        <v>109</v>
      </c>
      <c r="P264" s="6" t="s">
        <v>1779</v>
      </c>
      <c r="Q264" s="8" t="s">
        <v>44</v>
      </c>
      <c r="R264" s="10" t="s">
        <v>1780</v>
      </c>
      <c r="S264" s="11"/>
      <c r="T264" s="6"/>
      <c r="U264" s="28" t="str">
        <f>HYPERLINK("https://media.infra-m.ru/2112/2112454/cover/2112454.jpg", "Обложка")</f>
        <v>Обложка</v>
      </c>
      <c r="V264" s="28" t="str">
        <f>HYPERLINK("https://znanium.ru/catalog/product/2110937", "Ознакомиться")</f>
        <v>Ознакомиться</v>
      </c>
      <c r="W264" s="8" t="s">
        <v>273</v>
      </c>
      <c r="X264" s="6"/>
      <c r="Y264" s="6"/>
      <c r="Z264" s="6"/>
      <c r="AA264" s="6" t="s">
        <v>768</v>
      </c>
    </row>
    <row r="265" spans="1:27" s="4" customFormat="1" ht="51.95" customHeight="1">
      <c r="A265" s="5">
        <v>0</v>
      </c>
      <c r="B265" s="6" t="s">
        <v>1781</v>
      </c>
      <c r="C265" s="13">
        <v>764.9</v>
      </c>
      <c r="D265" s="8" t="s">
        <v>1782</v>
      </c>
      <c r="E265" s="8" t="s">
        <v>1783</v>
      </c>
      <c r="F265" s="8" t="s">
        <v>1784</v>
      </c>
      <c r="G265" s="6" t="s">
        <v>123</v>
      </c>
      <c r="H265" s="6" t="s">
        <v>52</v>
      </c>
      <c r="I265" s="8"/>
      <c r="J265" s="9">
        <v>1</v>
      </c>
      <c r="K265" s="9">
        <v>240</v>
      </c>
      <c r="L265" s="9">
        <v>2017</v>
      </c>
      <c r="M265" s="8" t="s">
        <v>1785</v>
      </c>
      <c r="N265" s="8" t="s">
        <v>74</v>
      </c>
      <c r="O265" s="8" t="s">
        <v>109</v>
      </c>
      <c r="P265" s="6" t="s">
        <v>1779</v>
      </c>
      <c r="Q265" s="8" t="s">
        <v>44</v>
      </c>
      <c r="R265" s="10" t="s">
        <v>1780</v>
      </c>
      <c r="S265" s="11" t="s">
        <v>1786</v>
      </c>
      <c r="T265" s="6"/>
      <c r="U265" s="28" t="str">
        <f>HYPERLINK("https://media.infra-m.ru/0536/0536823/cover/536823.jpg", "Обложка")</f>
        <v>Обложка</v>
      </c>
      <c r="V265" s="28" t="str">
        <f>HYPERLINK("https://znanium.ru/catalog/product/2110937", "Ознакомиться")</f>
        <v>Ознакомиться</v>
      </c>
      <c r="W265" s="8" t="s">
        <v>273</v>
      </c>
      <c r="X265" s="6"/>
      <c r="Y265" s="6"/>
      <c r="Z265" s="6"/>
      <c r="AA265" s="6" t="s">
        <v>826</v>
      </c>
    </row>
    <row r="266" spans="1:27" s="4" customFormat="1" ht="44.1" customHeight="1">
      <c r="A266" s="5">
        <v>0</v>
      </c>
      <c r="B266" s="6" t="s">
        <v>1787</v>
      </c>
      <c r="C266" s="13">
        <v>864</v>
      </c>
      <c r="D266" s="8" t="s">
        <v>1788</v>
      </c>
      <c r="E266" s="8" t="s">
        <v>1789</v>
      </c>
      <c r="F266" s="8" t="s">
        <v>1790</v>
      </c>
      <c r="G266" s="6" t="s">
        <v>123</v>
      </c>
      <c r="H266" s="6" t="s">
        <v>618</v>
      </c>
      <c r="I266" s="8"/>
      <c r="J266" s="9">
        <v>1</v>
      </c>
      <c r="K266" s="9">
        <v>192</v>
      </c>
      <c r="L266" s="9">
        <v>2023</v>
      </c>
      <c r="M266" s="8" t="s">
        <v>1791</v>
      </c>
      <c r="N266" s="8" t="s">
        <v>41</v>
      </c>
      <c r="O266" s="8" t="s">
        <v>65</v>
      </c>
      <c r="P266" s="6" t="s">
        <v>43</v>
      </c>
      <c r="Q266" s="8" t="s">
        <v>44</v>
      </c>
      <c r="R266" s="10" t="s">
        <v>1792</v>
      </c>
      <c r="S266" s="11"/>
      <c r="T266" s="6"/>
      <c r="U266" s="28" t="str">
        <f>HYPERLINK("https://media.infra-m.ru/1876/1876640/cover/1876640.jpg", "Обложка")</f>
        <v>Обложка</v>
      </c>
      <c r="V266" s="28" t="str">
        <f>HYPERLINK("https://znanium.ru/catalog/product/1058857", "Ознакомиться")</f>
        <v>Ознакомиться</v>
      </c>
      <c r="W266" s="8" t="s">
        <v>327</v>
      </c>
      <c r="X266" s="6"/>
      <c r="Y266" s="6"/>
      <c r="Z266" s="6"/>
      <c r="AA266" s="6" t="s">
        <v>650</v>
      </c>
    </row>
    <row r="267" spans="1:27" s="4" customFormat="1" ht="42" customHeight="1">
      <c r="A267" s="5">
        <v>0</v>
      </c>
      <c r="B267" s="6" t="s">
        <v>1793</v>
      </c>
      <c r="C267" s="13">
        <v>530</v>
      </c>
      <c r="D267" s="8" t="s">
        <v>1794</v>
      </c>
      <c r="E267" s="8" t="s">
        <v>1795</v>
      </c>
      <c r="F267" s="8" t="s">
        <v>1796</v>
      </c>
      <c r="G267" s="6" t="s">
        <v>37</v>
      </c>
      <c r="H267" s="6" t="s">
        <v>38</v>
      </c>
      <c r="I267" s="8" t="s">
        <v>39</v>
      </c>
      <c r="J267" s="9">
        <v>1</v>
      </c>
      <c r="K267" s="9">
        <v>118</v>
      </c>
      <c r="L267" s="9">
        <v>2022</v>
      </c>
      <c r="M267" s="8" t="s">
        <v>1797</v>
      </c>
      <c r="N267" s="8" t="s">
        <v>74</v>
      </c>
      <c r="O267" s="8" t="s">
        <v>93</v>
      </c>
      <c r="P267" s="6" t="s">
        <v>43</v>
      </c>
      <c r="Q267" s="8" t="s">
        <v>44</v>
      </c>
      <c r="R267" s="10" t="s">
        <v>1798</v>
      </c>
      <c r="S267" s="11"/>
      <c r="T267" s="6"/>
      <c r="U267" s="28" t="str">
        <f>HYPERLINK("https://media.infra-m.ru/1946/1946533/cover/1946533.jpg", "Обложка")</f>
        <v>Обложка</v>
      </c>
      <c r="V267" s="28" t="str">
        <f>HYPERLINK("https://znanium.ru/catalog/product/1946533", "Ознакомиться")</f>
        <v>Ознакомиться</v>
      </c>
      <c r="W267" s="8" t="s">
        <v>402</v>
      </c>
      <c r="X267" s="6"/>
      <c r="Y267" s="6"/>
      <c r="Z267" s="6"/>
      <c r="AA267" s="6" t="s">
        <v>290</v>
      </c>
    </row>
    <row r="268" spans="1:27" s="4" customFormat="1" ht="42" customHeight="1">
      <c r="A268" s="5">
        <v>0</v>
      </c>
      <c r="B268" s="6" t="s">
        <v>1799</v>
      </c>
      <c r="C268" s="13">
        <v>800</v>
      </c>
      <c r="D268" s="8" t="s">
        <v>1800</v>
      </c>
      <c r="E268" s="8" t="s">
        <v>1801</v>
      </c>
      <c r="F268" s="8" t="s">
        <v>1802</v>
      </c>
      <c r="G268" s="6" t="s">
        <v>37</v>
      </c>
      <c r="H268" s="6" t="s">
        <v>38</v>
      </c>
      <c r="I268" s="8" t="s">
        <v>39</v>
      </c>
      <c r="J268" s="9">
        <v>1</v>
      </c>
      <c r="K268" s="9">
        <v>172</v>
      </c>
      <c r="L268" s="9">
        <v>2024</v>
      </c>
      <c r="M268" s="8" t="s">
        <v>1803</v>
      </c>
      <c r="N268" s="8" t="s">
        <v>74</v>
      </c>
      <c r="O268" s="8" t="s">
        <v>75</v>
      </c>
      <c r="P268" s="6" t="s">
        <v>43</v>
      </c>
      <c r="Q268" s="8" t="s">
        <v>44</v>
      </c>
      <c r="R268" s="10" t="s">
        <v>1804</v>
      </c>
      <c r="S268" s="11"/>
      <c r="T268" s="6"/>
      <c r="U268" s="28" t="str">
        <f>HYPERLINK("https://media.infra-m.ru/2105/2105790/cover/2105790.jpg", "Обложка")</f>
        <v>Обложка</v>
      </c>
      <c r="V268" s="28" t="str">
        <f>HYPERLINK("https://znanium.ru/catalog/product/2105790", "Ознакомиться")</f>
        <v>Ознакомиться</v>
      </c>
      <c r="W268" s="8" t="s">
        <v>132</v>
      </c>
      <c r="X268" s="6"/>
      <c r="Y268" s="6"/>
      <c r="Z268" s="6"/>
      <c r="AA268" s="6" t="s">
        <v>78</v>
      </c>
    </row>
    <row r="269" spans="1:27" s="4" customFormat="1" ht="51.95" customHeight="1">
      <c r="A269" s="5">
        <v>0</v>
      </c>
      <c r="B269" s="6" t="s">
        <v>1805</v>
      </c>
      <c r="C269" s="13">
        <v>854</v>
      </c>
      <c r="D269" s="8" t="s">
        <v>1806</v>
      </c>
      <c r="E269" s="8" t="s">
        <v>1807</v>
      </c>
      <c r="F269" s="8" t="s">
        <v>672</v>
      </c>
      <c r="G269" s="6" t="s">
        <v>123</v>
      </c>
      <c r="H269" s="6" t="s">
        <v>934</v>
      </c>
      <c r="I269" s="8" t="s">
        <v>155</v>
      </c>
      <c r="J269" s="9">
        <v>1</v>
      </c>
      <c r="K269" s="9">
        <v>184</v>
      </c>
      <c r="L269" s="9">
        <v>2024</v>
      </c>
      <c r="M269" s="8" t="s">
        <v>1808</v>
      </c>
      <c r="N269" s="8" t="s">
        <v>74</v>
      </c>
      <c r="O269" s="8" t="s">
        <v>75</v>
      </c>
      <c r="P269" s="6" t="s">
        <v>55</v>
      </c>
      <c r="Q269" s="8" t="s">
        <v>56</v>
      </c>
      <c r="R269" s="10" t="s">
        <v>460</v>
      </c>
      <c r="S269" s="11" t="s">
        <v>1809</v>
      </c>
      <c r="T269" s="6"/>
      <c r="U269" s="28" t="str">
        <f>HYPERLINK("https://media.infra-m.ru/2078/2078403/cover/2078403.jpg", "Обложка")</f>
        <v>Обложка</v>
      </c>
      <c r="V269" s="28" t="str">
        <f>HYPERLINK("https://znanium.ru/catalog/product/1840485", "Ознакомиться")</f>
        <v>Ознакомиться</v>
      </c>
      <c r="W269" s="8" t="s">
        <v>511</v>
      </c>
      <c r="X269" s="6"/>
      <c r="Y269" s="6"/>
      <c r="Z269" s="6"/>
      <c r="AA269" s="6" t="s">
        <v>96</v>
      </c>
    </row>
    <row r="270" spans="1:27" s="4" customFormat="1" ht="44.1" customHeight="1">
      <c r="A270" s="5">
        <v>0</v>
      </c>
      <c r="B270" s="6" t="s">
        <v>1810</v>
      </c>
      <c r="C270" s="7">
        <v>1130</v>
      </c>
      <c r="D270" s="8" t="s">
        <v>1811</v>
      </c>
      <c r="E270" s="8" t="s">
        <v>1812</v>
      </c>
      <c r="F270" s="8" t="s">
        <v>1761</v>
      </c>
      <c r="G270" s="6" t="s">
        <v>37</v>
      </c>
      <c r="H270" s="6" t="s">
        <v>38</v>
      </c>
      <c r="I270" s="8" t="s">
        <v>39</v>
      </c>
      <c r="J270" s="9">
        <v>1</v>
      </c>
      <c r="K270" s="9">
        <v>296</v>
      </c>
      <c r="L270" s="9">
        <v>2021</v>
      </c>
      <c r="M270" s="8" t="s">
        <v>1813</v>
      </c>
      <c r="N270" s="8" t="s">
        <v>41</v>
      </c>
      <c r="O270" s="8" t="s">
        <v>54</v>
      </c>
      <c r="P270" s="6" t="s">
        <v>43</v>
      </c>
      <c r="Q270" s="8" t="s">
        <v>44</v>
      </c>
      <c r="R270" s="10" t="s">
        <v>1814</v>
      </c>
      <c r="S270" s="11"/>
      <c r="T270" s="6"/>
      <c r="U270" s="28" t="str">
        <f>HYPERLINK("https://media.infra-m.ru/1213/1213790/cover/1213790.jpg", "Обложка")</f>
        <v>Обложка</v>
      </c>
      <c r="V270" s="28" t="str">
        <f>HYPERLINK("https://znanium.ru/catalog/product/1213790", "Ознакомиться")</f>
        <v>Ознакомиться</v>
      </c>
      <c r="W270" s="8" t="s">
        <v>1764</v>
      </c>
      <c r="X270" s="6"/>
      <c r="Y270" s="6"/>
      <c r="Z270" s="6"/>
      <c r="AA270" s="6" t="s">
        <v>193</v>
      </c>
    </row>
    <row r="271" spans="1:27" s="4" customFormat="1" ht="42" customHeight="1">
      <c r="A271" s="5">
        <v>0</v>
      </c>
      <c r="B271" s="6" t="s">
        <v>1815</v>
      </c>
      <c r="C271" s="13">
        <v>620</v>
      </c>
      <c r="D271" s="8" t="s">
        <v>1816</v>
      </c>
      <c r="E271" s="8" t="s">
        <v>1817</v>
      </c>
      <c r="F271" s="8" t="s">
        <v>1818</v>
      </c>
      <c r="G271" s="6" t="s">
        <v>37</v>
      </c>
      <c r="H271" s="6" t="s">
        <v>38</v>
      </c>
      <c r="I271" s="8" t="s">
        <v>39</v>
      </c>
      <c r="J271" s="9">
        <v>1</v>
      </c>
      <c r="K271" s="9">
        <v>122</v>
      </c>
      <c r="L271" s="9">
        <v>2023</v>
      </c>
      <c r="M271" s="8" t="s">
        <v>1819</v>
      </c>
      <c r="N271" s="8" t="s">
        <v>41</v>
      </c>
      <c r="O271" s="8" t="s">
        <v>65</v>
      </c>
      <c r="P271" s="6" t="s">
        <v>43</v>
      </c>
      <c r="Q271" s="8" t="s">
        <v>44</v>
      </c>
      <c r="R271" s="10" t="s">
        <v>1820</v>
      </c>
      <c r="S271" s="11"/>
      <c r="T271" s="6"/>
      <c r="U271" s="28" t="str">
        <f>HYPERLINK("https://media.infra-m.ru/2052/2052441/cover/2052441.jpg", "Обложка")</f>
        <v>Обложка</v>
      </c>
      <c r="V271" s="28" t="str">
        <f>HYPERLINK("https://znanium.ru/catalog/product/2052441", "Ознакомиться")</f>
        <v>Ознакомиться</v>
      </c>
      <c r="W271" s="8" t="s">
        <v>1821</v>
      </c>
      <c r="X271" s="6" t="s">
        <v>641</v>
      </c>
      <c r="Y271" s="6"/>
      <c r="Z271" s="6"/>
      <c r="AA271" s="6" t="s">
        <v>111</v>
      </c>
    </row>
    <row r="272" spans="1:27" s="4" customFormat="1" ht="42" customHeight="1">
      <c r="A272" s="5">
        <v>0</v>
      </c>
      <c r="B272" s="6" t="s">
        <v>1822</v>
      </c>
      <c r="C272" s="7">
        <v>1800</v>
      </c>
      <c r="D272" s="8" t="s">
        <v>1823</v>
      </c>
      <c r="E272" s="8" t="s">
        <v>1824</v>
      </c>
      <c r="F272" s="8" t="s">
        <v>1825</v>
      </c>
      <c r="G272" s="6" t="s">
        <v>123</v>
      </c>
      <c r="H272" s="6" t="s">
        <v>38</v>
      </c>
      <c r="I272" s="8" t="s">
        <v>795</v>
      </c>
      <c r="J272" s="9">
        <v>1</v>
      </c>
      <c r="K272" s="9">
        <v>381</v>
      </c>
      <c r="L272" s="9">
        <v>2024</v>
      </c>
      <c r="M272" s="8" t="s">
        <v>1826</v>
      </c>
      <c r="N272" s="8" t="s">
        <v>41</v>
      </c>
      <c r="O272" s="8" t="s">
        <v>54</v>
      </c>
      <c r="P272" s="6" t="s">
        <v>378</v>
      </c>
      <c r="Q272" s="8" t="s">
        <v>177</v>
      </c>
      <c r="R272" s="10" t="s">
        <v>460</v>
      </c>
      <c r="S272" s="11"/>
      <c r="T272" s="6"/>
      <c r="U272" s="28" t="str">
        <f>HYPERLINK("https://media.infra-m.ru/1415/1415375/cover/1415375.jpg", "Обложка")</f>
        <v>Обложка</v>
      </c>
      <c r="V272" s="28" t="str">
        <f>HYPERLINK("https://znanium.ru/catalog/product/1415375", "Ознакомиться")</f>
        <v>Ознакомиться</v>
      </c>
      <c r="W272" s="8" t="s">
        <v>1827</v>
      </c>
      <c r="X272" s="6" t="s">
        <v>641</v>
      </c>
      <c r="Y272" s="6"/>
      <c r="Z272" s="6"/>
      <c r="AA272" s="6" t="s">
        <v>180</v>
      </c>
    </row>
    <row r="273" spans="1:27" s="4" customFormat="1" ht="51.95" customHeight="1">
      <c r="A273" s="5">
        <v>0</v>
      </c>
      <c r="B273" s="6" t="s">
        <v>1828</v>
      </c>
      <c r="C273" s="13">
        <v>624.9</v>
      </c>
      <c r="D273" s="8" t="s">
        <v>1829</v>
      </c>
      <c r="E273" s="8" t="s">
        <v>1830</v>
      </c>
      <c r="F273" s="8" t="s">
        <v>1831</v>
      </c>
      <c r="G273" s="6" t="s">
        <v>37</v>
      </c>
      <c r="H273" s="6" t="s">
        <v>317</v>
      </c>
      <c r="I273" s="8" t="s">
        <v>39</v>
      </c>
      <c r="J273" s="9">
        <v>1</v>
      </c>
      <c r="K273" s="9">
        <v>202</v>
      </c>
      <c r="L273" s="9">
        <v>2017</v>
      </c>
      <c r="M273" s="8" t="s">
        <v>1832</v>
      </c>
      <c r="N273" s="8" t="s">
        <v>74</v>
      </c>
      <c r="O273" s="8" t="s">
        <v>75</v>
      </c>
      <c r="P273" s="6" t="s">
        <v>43</v>
      </c>
      <c r="Q273" s="8" t="s">
        <v>44</v>
      </c>
      <c r="R273" s="10" t="s">
        <v>1833</v>
      </c>
      <c r="S273" s="11"/>
      <c r="T273" s="6"/>
      <c r="U273" s="28" t="str">
        <f>HYPERLINK("https://media.infra-m.ru/0549/0549024/cover/549024.jpg", "Обложка")</f>
        <v>Обложка</v>
      </c>
      <c r="V273" s="28" t="str">
        <f>HYPERLINK("https://znanium.ru/catalog/product/444111", "Ознакомиться")</f>
        <v>Ознакомиться</v>
      </c>
      <c r="W273" s="8" t="s">
        <v>1834</v>
      </c>
      <c r="X273" s="6"/>
      <c r="Y273" s="6"/>
      <c r="Z273" s="6"/>
      <c r="AA273" s="6" t="s">
        <v>290</v>
      </c>
    </row>
    <row r="274" spans="1:27" s="4" customFormat="1" ht="42" customHeight="1">
      <c r="A274" s="5">
        <v>0</v>
      </c>
      <c r="B274" s="6" t="s">
        <v>1835</v>
      </c>
      <c r="C274" s="13">
        <v>624</v>
      </c>
      <c r="D274" s="8" t="s">
        <v>1836</v>
      </c>
      <c r="E274" s="8" t="s">
        <v>1837</v>
      </c>
      <c r="F274" s="8" t="s">
        <v>1838</v>
      </c>
      <c r="G274" s="6" t="s">
        <v>37</v>
      </c>
      <c r="H274" s="6" t="s">
        <v>317</v>
      </c>
      <c r="I274" s="8" t="s">
        <v>39</v>
      </c>
      <c r="J274" s="9">
        <v>1</v>
      </c>
      <c r="K274" s="9">
        <v>134</v>
      </c>
      <c r="L274" s="9">
        <v>2024</v>
      </c>
      <c r="M274" s="8" t="s">
        <v>1839</v>
      </c>
      <c r="N274" s="8" t="s">
        <v>74</v>
      </c>
      <c r="O274" s="8" t="s">
        <v>75</v>
      </c>
      <c r="P274" s="6" t="s">
        <v>43</v>
      </c>
      <c r="Q274" s="8" t="s">
        <v>44</v>
      </c>
      <c r="R274" s="10" t="s">
        <v>1840</v>
      </c>
      <c r="S274" s="11"/>
      <c r="T274" s="6"/>
      <c r="U274" s="28" t="str">
        <f>HYPERLINK("https://media.infra-m.ru/2001/2001692/cover/2001692.jpg", "Обложка")</f>
        <v>Обложка</v>
      </c>
      <c r="V274" s="28" t="str">
        <f>HYPERLINK("https://znanium.ru/catalog/product/1019052", "Ознакомиться")</f>
        <v>Ознакомиться</v>
      </c>
      <c r="W274" s="8" t="s">
        <v>1841</v>
      </c>
      <c r="X274" s="6"/>
      <c r="Y274" s="6"/>
      <c r="Z274" s="6"/>
      <c r="AA274" s="6" t="s">
        <v>150</v>
      </c>
    </row>
    <row r="275" spans="1:27" s="4" customFormat="1" ht="42" customHeight="1">
      <c r="A275" s="5">
        <v>0</v>
      </c>
      <c r="B275" s="6" t="s">
        <v>1842</v>
      </c>
      <c r="C275" s="13">
        <v>380</v>
      </c>
      <c r="D275" s="8" t="s">
        <v>1843</v>
      </c>
      <c r="E275" s="8" t="s">
        <v>1844</v>
      </c>
      <c r="F275" s="8" t="s">
        <v>1838</v>
      </c>
      <c r="G275" s="6" t="s">
        <v>37</v>
      </c>
      <c r="H275" s="6" t="s">
        <v>317</v>
      </c>
      <c r="I275" s="8" t="s">
        <v>39</v>
      </c>
      <c r="J275" s="9">
        <v>1</v>
      </c>
      <c r="K275" s="9">
        <v>112</v>
      </c>
      <c r="L275" s="9">
        <v>2019</v>
      </c>
      <c r="M275" s="8" t="s">
        <v>1845</v>
      </c>
      <c r="N275" s="8" t="s">
        <v>74</v>
      </c>
      <c r="O275" s="8" t="s">
        <v>75</v>
      </c>
      <c r="P275" s="6" t="s">
        <v>43</v>
      </c>
      <c r="Q275" s="8" t="s">
        <v>44</v>
      </c>
      <c r="R275" s="10" t="s">
        <v>1840</v>
      </c>
      <c r="S275" s="11"/>
      <c r="T275" s="6"/>
      <c r="U275" s="28" t="str">
        <f>HYPERLINK("https://media.infra-m.ru/1019/1019052/cover/1019052.jpg", "Обложка")</f>
        <v>Обложка</v>
      </c>
      <c r="V275" s="28" t="str">
        <f>HYPERLINK("https://znanium.ru/catalog/product/1019052", "Ознакомиться")</f>
        <v>Ознакомиться</v>
      </c>
      <c r="W275" s="8" t="s">
        <v>1841</v>
      </c>
      <c r="X275" s="6"/>
      <c r="Y275" s="6"/>
      <c r="Z275" s="6"/>
      <c r="AA275" s="6" t="s">
        <v>650</v>
      </c>
    </row>
    <row r="276" spans="1:27" s="4" customFormat="1" ht="42" customHeight="1">
      <c r="A276" s="5">
        <v>0</v>
      </c>
      <c r="B276" s="6" t="s">
        <v>1846</v>
      </c>
      <c r="C276" s="13">
        <v>680</v>
      </c>
      <c r="D276" s="8" t="s">
        <v>1847</v>
      </c>
      <c r="E276" s="8" t="s">
        <v>1848</v>
      </c>
      <c r="F276" s="8" t="s">
        <v>1849</v>
      </c>
      <c r="G276" s="6" t="s">
        <v>37</v>
      </c>
      <c r="H276" s="6" t="s">
        <v>317</v>
      </c>
      <c r="I276" s="8" t="s">
        <v>492</v>
      </c>
      <c r="J276" s="9">
        <v>1</v>
      </c>
      <c r="K276" s="9">
        <v>148</v>
      </c>
      <c r="L276" s="9">
        <v>2024</v>
      </c>
      <c r="M276" s="8" t="s">
        <v>1850</v>
      </c>
      <c r="N276" s="8" t="s">
        <v>74</v>
      </c>
      <c r="O276" s="8" t="s">
        <v>109</v>
      </c>
      <c r="P276" s="6" t="s">
        <v>55</v>
      </c>
      <c r="Q276" s="8" t="s">
        <v>56</v>
      </c>
      <c r="R276" s="10" t="s">
        <v>1851</v>
      </c>
      <c r="S276" s="11"/>
      <c r="T276" s="6"/>
      <c r="U276" s="28" t="str">
        <f>HYPERLINK("https://media.infra-m.ru/2091/2091890/cover/2091890.jpg", "Обложка")</f>
        <v>Обложка</v>
      </c>
      <c r="V276" s="28" t="str">
        <f>HYPERLINK("https://znanium.ru/catalog/product/2091890", "Ознакомиться")</f>
        <v>Ознакомиться</v>
      </c>
      <c r="W276" s="8" t="s">
        <v>1852</v>
      </c>
      <c r="X276" s="6"/>
      <c r="Y276" s="6"/>
      <c r="Z276" s="6"/>
      <c r="AA276" s="6" t="s">
        <v>364</v>
      </c>
    </row>
    <row r="277" spans="1:27" s="4" customFormat="1" ht="44.1" customHeight="1">
      <c r="A277" s="5">
        <v>0</v>
      </c>
      <c r="B277" s="6" t="s">
        <v>1853</v>
      </c>
      <c r="C277" s="13">
        <v>740</v>
      </c>
      <c r="D277" s="8" t="s">
        <v>1854</v>
      </c>
      <c r="E277" s="8" t="s">
        <v>1855</v>
      </c>
      <c r="F277" s="8" t="s">
        <v>1856</v>
      </c>
      <c r="G277" s="6" t="s">
        <v>37</v>
      </c>
      <c r="H277" s="6" t="s">
        <v>38</v>
      </c>
      <c r="I277" s="8" t="s">
        <v>39</v>
      </c>
      <c r="J277" s="9">
        <v>1</v>
      </c>
      <c r="K277" s="9">
        <v>160</v>
      </c>
      <c r="L277" s="9">
        <v>2024</v>
      </c>
      <c r="M277" s="8" t="s">
        <v>1857</v>
      </c>
      <c r="N277" s="8" t="s">
        <v>41</v>
      </c>
      <c r="O277" s="8" t="s">
        <v>54</v>
      </c>
      <c r="P277" s="6" t="s">
        <v>43</v>
      </c>
      <c r="Q277" s="8" t="s">
        <v>44</v>
      </c>
      <c r="R277" s="10" t="s">
        <v>1858</v>
      </c>
      <c r="S277" s="11"/>
      <c r="T277" s="6"/>
      <c r="U277" s="28" t="str">
        <f>HYPERLINK("https://media.infra-m.ru/2125/2125123/cover/2125123.jpg", "Обложка")</f>
        <v>Обложка</v>
      </c>
      <c r="V277" s="28" t="str">
        <f>HYPERLINK("https://znanium.ru/catalog/product/2125123", "Ознакомиться")</f>
        <v>Ознакомиться</v>
      </c>
      <c r="W277" s="8" t="s">
        <v>1859</v>
      </c>
      <c r="X277" s="6"/>
      <c r="Y277" s="6"/>
      <c r="Z277" s="6"/>
      <c r="AA277" s="6" t="s">
        <v>193</v>
      </c>
    </row>
    <row r="278" spans="1:27" s="4" customFormat="1" ht="44.1" customHeight="1">
      <c r="A278" s="5">
        <v>0</v>
      </c>
      <c r="B278" s="6" t="s">
        <v>1860</v>
      </c>
      <c r="C278" s="7">
        <v>1254.9000000000001</v>
      </c>
      <c r="D278" s="8" t="s">
        <v>1861</v>
      </c>
      <c r="E278" s="8" t="s">
        <v>1862</v>
      </c>
      <c r="F278" s="8" t="s">
        <v>1863</v>
      </c>
      <c r="G278" s="6" t="s">
        <v>37</v>
      </c>
      <c r="H278" s="6" t="s">
        <v>38</v>
      </c>
      <c r="I278" s="8" t="s">
        <v>39</v>
      </c>
      <c r="J278" s="9">
        <v>1</v>
      </c>
      <c r="K278" s="9">
        <v>299</v>
      </c>
      <c r="L278" s="9">
        <v>2022</v>
      </c>
      <c r="M278" s="8" t="s">
        <v>1864</v>
      </c>
      <c r="N278" s="8" t="s">
        <v>41</v>
      </c>
      <c r="O278" s="8" t="s">
        <v>65</v>
      </c>
      <c r="P278" s="6" t="s">
        <v>43</v>
      </c>
      <c r="Q278" s="8" t="s">
        <v>44</v>
      </c>
      <c r="R278" s="10" t="s">
        <v>1865</v>
      </c>
      <c r="S278" s="11"/>
      <c r="T278" s="6"/>
      <c r="U278" s="28" t="str">
        <f>HYPERLINK("https://media.infra-m.ru/1864/1864885/cover/1864885.jpg", "Обложка")</f>
        <v>Обложка</v>
      </c>
      <c r="V278" s="28" t="str">
        <f>HYPERLINK("https://znanium.ru/catalog/product/1086386", "Ознакомиться")</f>
        <v>Ознакомиться</v>
      </c>
      <c r="W278" s="8" t="s">
        <v>1005</v>
      </c>
      <c r="X278" s="6"/>
      <c r="Y278" s="6"/>
      <c r="Z278" s="6"/>
      <c r="AA278" s="6" t="s">
        <v>141</v>
      </c>
    </row>
    <row r="279" spans="1:27" s="4" customFormat="1" ht="51.95" customHeight="1">
      <c r="A279" s="5">
        <v>0</v>
      </c>
      <c r="B279" s="6" t="s">
        <v>1866</v>
      </c>
      <c r="C279" s="7">
        <v>1534.9</v>
      </c>
      <c r="D279" s="8" t="s">
        <v>1867</v>
      </c>
      <c r="E279" s="8" t="s">
        <v>1868</v>
      </c>
      <c r="F279" s="8" t="s">
        <v>1869</v>
      </c>
      <c r="G279" s="6" t="s">
        <v>123</v>
      </c>
      <c r="H279" s="6" t="s">
        <v>470</v>
      </c>
      <c r="I279" s="8"/>
      <c r="J279" s="9">
        <v>1</v>
      </c>
      <c r="K279" s="9">
        <v>342</v>
      </c>
      <c r="L279" s="9">
        <v>2023</v>
      </c>
      <c r="M279" s="8" t="s">
        <v>1870</v>
      </c>
      <c r="N279" s="8" t="s">
        <v>41</v>
      </c>
      <c r="O279" s="8" t="s">
        <v>65</v>
      </c>
      <c r="P279" s="6" t="s">
        <v>55</v>
      </c>
      <c r="Q279" s="8" t="s">
        <v>56</v>
      </c>
      <c r="R279" s="10" t="s">
        <v>1871</v>
      </c>
      <c r="S279" s="11" t="s">
        <v>1872</v>
      </c>
      <c r="T279" s="6"/>
      <c r="U279" s="28" t="str">
        <f>HYPERLINK("https://media.infra-m.ru/1903/1903718/cover/1903718.jpg", "Обложка")</f>
        <v>Обложка</v>
      </c>
      <c r="V279" s="28" t="str">
        <f>HYPERLINK("https://znanium.ru/catalog/product/1055188", "Ознакомиться")</f>
        <v>Ознакомиться</v>
      </c>
      <c r="W279" s="8" t="s">
        <v>297</v>
      </c>
      <c r="X279" s="6"/>
      <c r="Y279" s="6"/>
      <c r="Z279" s="6"/>
      <c r="AA279" s="6" t="s">
        <v>96</v>
      </c>
    </row>
    <row r="280" spans="1:27" s="4" customFormat="1" ht="42" customHeight="1">
      <c r="A280" s="5">
        <v>0</v>
      </c>
      <c r="B280" s="6" t="s">
        <v>1873</v>
      </c>
      <c r="C280" s="13">
        <v>810</v>
      </c>
      <c r="D280" s="8" t="s">
        <v>1874</v>
      </c>
      <c r="E280" s="8" t="s">
        <v>1875</v>
      </c>
      <c r="F280" s="8" t="s">
        <v>1818</v>
      </c>
      <c r="G280" s="6" t="s">
        <v>37</v>
      </c>
      <c r="H280" s="6" t="s">
        <v>38</v>
      </c>
      <c r="I280" s="8" t="s">
        <v>39</v>
      </c>
      <c r="J280" s="9">
        <v>1</v>
      </c>
      <c r="K280" s="9">
        <v>179</v>
      </c>
      <c r="L280" s="9">
        <v>2023</v>
      </c>
      <c r="M280" s="8" t="s">
        <v>1876</v>
      </c>
      <c r="N280" s="8" t="s">
        <v>41</v>
      </c>
      <c r="O280" s="8" t="s">
        <v>65</v>
      </c>
      <c r="P280" s="6" t="s">
        <v>43</v>
      </c>
      <c r="Q280" s="8" t="s">
        <v>44</v>
      </c>
      <c r="R280" s="10" t="s">
        <v>1236</v>
      </c>
      <c r="S280" s="11"/>
      <c r="T280" s="6"/>
      <c r="U280" s="28" t="str">
        <f>HYPERLINK("https://media.infra-m.ru/1871/1871442/cover/1871442.jpg", "Обложка")</f>
        <v>Обложка</v>
      </c>
      <c r="V280" s="28" t="str">
        <f>HYPERLINK("https://znanium.ru/catalog/product/1871442", "Ознакомиться")</f>
        <v>Ознакомиться</v>
      </c>
      <c r="W280" s="8" t="s">
        <v>1821</v>
      </c>
      <c r="X280" s="6"/>
      <c r="Y280" s="6"/>
      <c r="Z280" s="6"/>
      <c r="AA280" s="6" t="s">
        <v>111</v>
      </c>
    </row>
    <row r="281" spans="1:27" s="4" customFormat="1" ht="51.95" customHeight="1">
      <c r="A281" s="5">
        <v>0</v>
      </c>
      <c r="B281" s="6" t="s">
        <v>1877</v>
      </c>
      <c r="C281" s="13">
        <v>934</v>
      </c>
      <c r="D281" s="8" t="s">
        <v>1878</v>
      </c>
      <c r="E281" s="8" t="s">
        <v>1879</v>
      </c>
      <c r="F281" s="8" t="s">
        <v>1880</v>
      </c>
      <c r="G281" s="6" t="s">
        <v>37</v>
      </c>
      <c r="H281" s="6" t="s">
        <v>317</v>
      </c>
      <c r="I281" s="8" t="s">
        <v>39</v>
      </c>
      <c r="J281" s="9">
        <v>1</v>
      </c>
      <c r="K281" s="9">
        <v>201</v>
      </c>
      <c r="L281" s="9">
        <v>2017</v>
      </c>
      <c r="M281" s="8" t="s">
        <v>1881</v>
      </c>
      <c r="N281" s="8" t="s">
        <v>41</v>
      </c>
      <c r="O281" s="8" t="s">
        <v>65</v>
      </c>
      <c r="P281" s="6" t="s">
        <v>43</v>
      </c>
      <c r="Q281" s="8" t="s">
        <v>44</v>
      </c>
      <c r="R281" s="10" t="s">
        <v>1882</v>
      </c>
      <c r="S281" s="11"/>
      <c r="T281" s="6"/>
      <c r="U281" s="28" t="str">
        <f>HYPERLINK("https://media.infra-m.ru/0615/0615094/cover/615094.jpg", "Обложка")</f>
        <v>Обложка</v>
      </c>
      <c r="V281" s="28" t="str">
        <f>HYPERLINK("https://znanium.ru/catalog/product/615094", "Ознакомиться")</f>
        <v>Ознакомиться</v>
      </c>
      <c r="W281" s="8" t="s">
        <v>1883</v>
      </c>
      <c r="X281" s="6"/>
      <c r="Y281" s="6"/>
      <c r="Z281" s="6"/>
      <c r="AA281" s="6" t="s">
        <v>96</v>
      </c>
    </row>
    <row r="282" spans="1:27" s="4" customFormat="1" ht="44.1" customHeight="1">
      <c r="A282" s="5">
        <v>0</v>
      </c>
      <c r="B282" s="6" t="s">
        <v>1884</v>
      </c>
      <c r="C282" s="13">
        <v>904.9</v>
      </c>
      <c r="D282" s="8" t="s">
        <v>1885</v>
      </c>
      <c r="E282" s="8" t="s">
        <v>1886</v>
      </c>
      <c r="F282" s="8" t="s">
        <v>1887</v>
      </c>
      <c r="G282" s="6" t="s">
        <v>37</v>
      </c>
      <c r="H282" s="6" t="s">
        <v>725</v>
      </c>
      <c r="I282" s="8"/>
      <c r="J282" s="9">
        <v>1</v>
      </c>
      <c r="K282" s="9">
        <v>200</v>
      </c>
      <c r="L282" s="9">
        <v>2023</v>
      </c>
      <c r="M282" s="8" t="s">
        <v>1888</v>
      </c>
      <c r="N282" s="8" t="s">
        <v>41</v>
      </c>
      <c r="O282" s="8" t="s">
        <v>65</v>
      </c>
      <c r="P282" s="6" t="s">
        <v>43</v>
      </c>
      <c r="Q282" s="8" t="s">
        <v>44</v>
      </c>
      <c r="R282" s="10" t="s">
        <v>1889</v>
      </c>
      <c r="S282" s="11"/>
      <c r="T282" s="6"/>
      <c r="U282" s="28" t="str">
        <f>HYPERLINK("https://media.infra-m.ru/2038/2038318/cover/2038318.jpg", "Обложка")</f>
        <v>Обложка</v>
      </c>
      <c r="V282" s="28" t="str">
        <f>HYPERLINK("https://znanium.ru/catalog/product/1290959", "Ознакомиться")</f>
        <v>Ознакомиться</v>
      </c>
      <c r="W282" s="8" t="s">
        <v>363</v>
      </c>
      <c r="X282" s="6"/>
      <c r="Y282" s="6"/>
      <c r="Z282" s="6"/>
      <c r="AA282" s="6" t="s">
        <v>47</v>
      </c>
    </row>
    <row r="283" spans="1:27" s="4" customFormat="1" ht="51.95" customHeight="1">
      <c r="A283" s="5">
        <v>0</v>
      </c>
      <c r="B283" s="6" t="s">
        <v>1890</v>
      </c>
      <c r="C283" s="13">
        <v>754</v>
      </c>
      <c r="D283" s="8" t="s">
        <v>1891</v>
      </c>
      <c r="E283" s="8" t="s">
        <v>1892</v>
      </c>
      <c r="F283" s="8" t="s">
        <v>1893</v>
      </c>
      <c r="G283" s="6" t="s">
        <v>37</v>
      </c>
      <c r="H283" s="6" t="s">
        <v>38</v>
      </c>
      <c r="I283" s="8" t="s">
        <v>39</v>
      </c>
      <c r="J283" s="9">
        <v>1</v>
      </c>
      <c r="K283" s="9">
        <v>160</v>
      </c>
      <c r="L283" s="9">
        <v>2024</v>
      </c>
      <c r="M283" s="8" t="s">
        <v>1894</v>
      </c>
      <c r="N283" s="8" t="s">
        <v>74</v>
      </c>
      <c r="O283" s="8" t="s">
        <v>93</v>
      </c>
      <c r="P283" s="6" t="s">
        <v>43</v>
      </c>
      <c r="Q283" s="8" t="s">
        <v>44</v>
      </c>
      <c r="R283" s="10" t="s">
        <v>1895</v>
      </c>
      <c r="S283" s="11"/>
      <c r="T283" s="6"/>
      <c r="U283" s="28" t="str">
        <f>HYPERLINK("https://media.infra-m.ru/2144/2144075/cover/2144075.jpg", "Обложка")</f>
        <v>Обложка</v>
      </c>
      <c r="V283" s="28" t="str">
        <f>HYPERLINK("https://znanium.ru/catalog/product/1093097", "Ознакомиться")</f>
        <v>Ознакомиться</v>
      </c>
      <c r="W283" s="8" t="s">
        <v>355</v>
      </c>
      <c r="X283" s="6"/>
      <c r="Y283" s="6"/>
      <c r="Z283" s="6"/>
      <c r="AA283" s="6" t="s">
        <v>381</v>
      </c>
    </row>
    <row r="284" spans="1:27" s="4" customFormat="1" ht="42" customHeight="1">
      <c r="A284" s="5">
        <v>0</v>
      </c>
      <c r="B284" s="6" t="s">
        <v>1896</v>
      </c>
      <c r="C284" s="13">
        <v>834</v>
      </c>
      <c r="D284" s="8" t="s">
        <v>1897</v>
      </c>
      <c r="E284" s="8" t="s">
        <v>1898</v>
      </c>
      <c r="F284" s="8" t="s">
        <v>1899</v>
      </c>
      <c r="G284" s="6" t="s">
        <v>37</v>
      </c>
      <c r="H284" s="6" t="s">
        <v>317</v>
      </c>
      <c r="I284" s="8" t="s">
        <v>1900</v>
      </c>
      <c r="J284" s="9">
        <v>1</v>
      </c>
      <c r="K284" s="9">
        <v>182</v>
      </c>
      <c r="L284" s="9">
        <v>2023</v>
      </c>
      <c r="M284" s="8" t="s">
        <v>1901</v>
      </c>
      <c r="N284" s="8" t="s">
        <v>74</v>
      </c>
      <c r="O284" s="8" t="s">
        <v>75</v>
      </c>
      <c r="P284" s="6" t="s">
        <v>43</v>
      </c>
      <c r="Q284" s="8" t="s">
        <v>44</v>
      </c>
      <c r="R284" s="10" t="s">
        <v>1902</v>
      </c>
      <c r="S284" s="11"/>
      <c r="T284" s="6"/>
      <c r="U284" s="28" t="str">
        <f>HYPERLINK("https://media.infra-m.ru/2063/2063339/cover/2063339.jpg", "Обложка")</f>
        <v>Обложка</v>
      </c>
      <c r="V284" s="12"/>
      <c r="W284" s="8"/>
      <c r="X284" s="6"/>
      <c r="Y284" s="6"/>
      <c r="Z284" s="6"/>
      <c r="AA284" s="6" t="s">
        <v>96</v>
      </c>
    </row>
    <row r="285" spans="1:27" s="4" customFormat="1" ht="51.95" customHeight="1">
      <c r="A285" s="5">
        <v>0</v>
      </c>
      <c r="B285" s="6" t="s">
        <v>1903</v>
      </c>
      <c r="C285" s="13">
        <v>900</v>
      </c>
      <c r="D285" s="8" t="s">
        <v>1904</v>
      </c>
      <c r="E285" s="8" t="s">
        <v>1905</v>
      </c>
      <c r="F285" s="8" t="s">
        <v>1906</v>
      </c>
      <c r="G285" s="6" t="s">
        <v>83</v>
      </c>
      <c r="H285" s="6" t="s">
        <v>38</v>
      </c>
      <c r="I285" s="8" t="s">
        <v>884</v>
      </c>
      <c r="J285" s="9">
        <v>1</v>
      </c>
      <c r="K285" s="9">
        <v>194</v>
      </c>
      <c r="L285" s="9">
        <v>2023</v>
      </c>
      <c r="M285" s="8" t="s">
        <v>1907</v>
      </c>
      <c r="N285" s="8" t="s">
        <v>74</v>
      </c>
      <c r="O285" s="8" t="s">
        <v>75</v>
      </c>
      <c r="P285" s="6" t="s">
        <v>55</v>
      </c>
      <c r="Q285" s="8" t="s">
        <v>594</v>
      </c>
      <c r="R285" s="10" t="s">
        <v>1908</v>
      </c>
      <c r="S285" s="11" t="s">
        <v>1909</v>
      </c>
      <c r="T285" s="6"/>
      <c r="U285" s="28" t="str">
        <f>HYPERLINK("https://media.infra-m.ru/2004/2004403/cover/2004403.jpg", "Обложка")</f>
        <v>Обложка</v>
      </c>
      <c r="V285" s="28" t="str">
        <f>HYPERLINK("https://znanium.ru/catalog/product/2004403", "Ознакомиться")</f>
        <v>Ознакомиться</v>
      </c>
      <c r="W285" s="8" t="s">
        <v>1841</v>
      </c>
      <c r="X285" s="6"/>
      <c r="Y285" s="6"/>
      <c r="Z285" s="6"/>
      <c r="AA285" s="6" t="s">
        <v>193</v>
      </c>
    </row>
    <row r="286" spans="1:27" s="4" customFormat="1" ht="42" customHeight="1">
      <c r="A286" s="5">
        <v>0</v>
      </c>
      <c r="B286" s="6" t="s">
        <v>1910</v>
      </c>
      <c r="C286" s="13">
        <v>880</v>
      </c>
      <c r="D286" s="8" t="s">
        <v>1911</v>
      </c>
      <c r="E286" s="8" t="s">
        <v>1912</v>
      </c>
      <c r="F286" s="8" t="s">
        <v>1913</v>
      </c>
      <c r="G286" s="6" t="s">
        <v>123</v>
      </c>
      <c r="H286" s="6" t="s">
        <v>38</v>
      </c>
      <c r="I286" s="8" t="s">
        <v>500</v>
      </c>
      <c r="J286" s="9">
        <v>1</v>
      </c>
      <c r="K286" s="9">
        <v>184</v>
      </c>
      <c r="L286" s="9">
        <v>2024</v>
      </c>
      <c r="M286" s="8" t="s">
        <v>1914</v>
      </c>
      <c r="N286" s="8" t="s">
        <v>74</v>
      </c>
      <c r="O286" s="8" t="s">
        <v>75</v>
      </c>
      <c r="P286" s="6" t="s">
        <v>55</v>
      </c>
      <c r="Q286" s="8" t="s">
        <v>177</v>
      </c>
      <c r="R286" s="10" t="s">
        <v>1915</v>
      </c>
      <c r="S286" s="11"/>
      <c r="T286" s="6"/>
      <c r="U286" s="28" t="str">
        <f>HYPERLINK("https://media.infra-m.ru/2130/2130509/cover/2130509.jpg", "Обложка")</f>
        <v>Обложка</v>
      </c>
      <c r="V286" s="12"/>
      <c r="W286" s="8" t="s">
        <v>327</v>
      </c>
      <c r="X286" s="6" t="s">
        <v>582</v>
      </c>
      <c r="Y286" s="6"/>
      <c r="Z286" s="6"/>
      <c r="AA286" s="6" t="s">
        <v>180</v>
      </c>
    </row>
    <row r="287" spans="1:27" s="4" customFormat="1" ht="51.95" customHeight="1">
      <c r="A287" s="5">
        <v>0</v>
      </c>
      <c r="B287" s="6" t="s">
        <v>1916</v>
      </c>
      <c r="C287" s="13">
        <v>990</v>
      </c>
      <c r="D287" s="8" t="s">
        <v>1917</v>
      </c>
      <c r="E287" s="8" t="s">
        <v>1918</v>
      </c>
      <c r="F287" s="8" t="s">
        <v>1919</v>
      </c>
      <c r="G287" s="6" t="s">
        <v>37</v>
      </c>
      <c r="H287" s="6" t="s">
        <v>317</v>
      </c>
      <c r="I287" s="8" t="s">
        <v>1920</v>
      </c>
      <c r="J287" s="9">
        <v>1</v>
      </c>
      <c r="K287" s="9">
        <v>264</v>
      </c>
      <c r="L287" s="9">
        <v>2022</v>
      </c>
      <c r="M287" s="8" t="s">
        <v>1921</v>
      </c>
      <c r="N287" s="8" t="s">
        <v>74</v>
      </c>
      <c r="O287" s="8" t="s">
        <v>109</v>
      </c>
      <c r="P287" s="6" t="s">
        <v>1922</v>
      </c>
      <c r="Q287" s="8" t="s">
        <v>44</v>
      </c>
      <c r="R287" s="10" t="s">
        <v>1923</v>
      </c>
      <c r="S287" s="11"/>
      <c r="T287" s="6"/>
      <c r="U287" s="28" t="str">
        <f>HYPERLINK("https://media.infra-m.ru/1817/1817008/cover/1817008.jpg", "Обложка")</f>
        <v>Обложка</v>
      </c>
      <c r="V287" s="28" t="str">
        <f>HYPERLINK("https://znanium.ru/catalog/product/1817008", "Ознакомиться")</f>
        <v>Ознакомиться</v>
      </c>
      <c r="W287" s="8" t="s">
        <v>1924</v>
      </c>
      <c r="X287" s="6"/>
      <c r="Y287" s="6"/>
      <c r="Z287" s="6"/>
      <c r="AA287" s="6" t="s">
        <v>47</v>
      </c>
    </row>
    <row r="288" spans="1:27" s="4" customFormat="1" ht="51.95" customHeight="1">
      <c r="A288" s="5">
        <v>0</v>
      </c>
      <c r="B288" s="6" t="s">
        <v>1925</v>
      </c>
      <c r="C288" s="13">
        <v>804</v>
      </c>
      <c r="D288" s="8" t="s">
        <v>1926</v>
      </c>
      <c r="E288" s="8" t="s">
        <v>1927</v>
      </c>
      <c r="F288" s="8" t="s">
        <v>1928</v>
      </c>
      <c r="G288" s="6" t="s">
        <v>37</v>
      </c>
      <c r="H288" s="6" t="s">
        <v>470</v>
      </c>
      <c r="I288" s="8"/>
      <c r="J288" s="9">
        <v>1</v>
      </c>
      <c r="K288" s="9">
        <v>175</v>
      </c>
      <c r="L288" s="9">
        <v>2024</v>
      </c>
      <c r="M288" s="8" t="s">
        <v>1929</v>
      </c>
      <c r="N288" s="8" t="s">
        <v>74</v>
      </c>
      <c r="O288" s="8" t="s">
        <v>75</v>
      </c>
      <c r="P288" s="6" t="s">
        <v>176</v>
      </c>
      <c r="Q288" s="8" t="s">
        <v>56</v>
      </c>
      <c r="R288" s="10" t="s">
        <v>1930</v>
      </c>
      <c r="S288" s="11" t="s">
        <v>1931</v>
      </c>
      <c r="T288" s="6"/>
      <c r="U288" s="28" t="str">
        <f>HYPERLINK("https://media.infra-m.ru/2104/2104115/cover/2104115.jpg", "Обложка")</f>
        <v>Обложка</v>
      </c>
      <c r="V288" s="28" t="str">
        <f>HYPERLINK("https://znanium.ru/catalog/product/1012457", "Ознакомиться")</f>
        <v>Ознакомиться</v>
      </c>
      <c r="W288" s="8" t="s">
        <v>1932</v>
      </c>
      <c r="X288" s="6"/>
      <c r="Y288" s="6"/>
      <c r="Z288" s="6"/>
      <c r="AA288" s="6" t="s">
        <v>290</v>
      </c>
    </row>
    <row r="289" spans="1:27" s="4" customFormat="1" ht="51.95" customHeight="1">
      <c r="A289" s="5">
        <v>0</v>
      </c>
      <c r="B289" s="6" t="s">
        <v>1933</v>
      </c>
      <c r="C289" s="13">
        <v>660</v>
      </c>
      <c r="D289" s="8" t="s">
        <v>1934</v>
      </c>
      <c r="E289" s="8" t="s">
        <v>1935</v>
      </c>
      <c r="F289" s="8" t="s">
        <v>1936</v>
      </c>
      <c r="G289" s="6" t="s">
        <v>37</v>
      </c>
      <c r="H289" s="6" t="s">
        <v>38</v>
      </c>
      <c r="I289" s="8" t="s">
        <v>39</v>
      </c>
      <c r="J289" s="9">
        <v>1</v>
      </c>
      <c r="K289" s="9">
        <v>174</v>
      </c>
      <c r="L289" s="9">
        <v>2022</v>
      </c>
      <c r="M289" s="8" t="s">
        <v>1937</v>
      </c>
      <c r="N289" s="8" t="s">
        <v>74</v>
      </c>
      <c r="O289" s="8" t="s">
        <v>75</v>
      </c>
      <c r="P289" s="6" t="s">
        <v>43</v>
      </c>
      <c r="Q289" s="8" t="s">
        <v>44</v>
      </c>
      <c r="R289" s="10" t="s">
        <v>1938</v>
      </c>
      <c r="S289" s="11"/>
      <c r="T289" s="6"/>
      <c r="U289" s="28" t="str">
        <f>HYPERLINK("https://media.infra-m.ru/1735/1735161/cover/1735161.jpg", "Обложка")</f>
        <v>Обложка</v>
      </c>
      <c r="V289" s="28" t="str">
        <f>HYPERLINK("https://znanium.ru/catalog/product/1003238", "Ознакомиться")</f>
        <v>Ознакомиться</v>
      </c>
      <c r="W289" s="8" t="s">
        <v>355</v>
      </c>
      <c r="X289" s="6"/>
      <c r="Y289" s="6"/>
      <c r="Z289" s="6"/>
      <c r="AA289" s="6" t="s">
        <v>68</v>
      </c>
    </row>
    <row r="290" spans="1:27" s="4" customFormat="1" ht="51.95" customHeight="1">
      <c r="A290" s="5">
        <v>0</v>
      </c>
      <c r="B290" s="6" t="s">
        <v>1939</v>
      </c>
      <c r="C290" s="7">
        <v>1660</v>
      </c>
      <c r="D290" s="8" t="s">
        <v>1940</v>
      </c>
      <c r="E290" s="8" t="s">
        <v>1941</v>
      </c>
      <c r="F290" s="8" t="s">
        <v>1942</v>
      </c>
      <c r="G290" s="6" t="s">
        <v>83</v>
      </c>
      <c r="H290" s="6" t="s">
        <v>38</v>
      </c>
      <c r="I290" s="8" t="s">
        <v>884</v>
      </c>
      <c r="J290" s="9">
        <v>1</v>
      </c>
      <c r="K290" s="9">
        <v>369</v>
      </c>
      <c r="L290" s="9">
        <v>2023</v>
      </c>
      <c r="M290" s="8" t="s">
        <v>1943</v>
      </c>
      <c r="N290" s="8" t="s">
        <v>41</v>
      </c>
      <c r="O290" s="8" t="s">
        <v>65</v>
      </c>
      <c r="P290" s="6" t="s">
        <v>55</v>
      </c>
      <c r="Q290" s="8" t="s">
        <v>594</v>
      </c>
      <c r="R290" s="10" t="s">
        <v>1944</v>
      </c>
      <c r="S290" s="11" t="s">
        <v>1945</v>
      </c>
      <c r="T290" s="6"/>
      <c r="U290" s="28" t="str">
        <f>HYPERLINK("https://media.infra-m.ru/1974/1974384/cover/1974384.jpg", "Обложка")</f>
        <v>Обложка</v>
      </c>
      <c r="V290" s="28" t="str">
        <f>HYPERLINK("https://znanium.ru/catalog/product/1974384", "Ознакомиться")</f>
        <v>Ознакомиться</v>
      </c>
      <c r="W290" s="8" t="s">
        <v>1946</v>
      </c>
      <c r="X290" s="6"/>
      <c r="Y290" s="6"/>
      <c r="Z290" s="6"/>
      <c r="AA290" s="6" t="s">
        <v>768</v>
      </c>
    </row>
    <row r="291" spans="1:27" s="4" customFormat="1" ht="51.95" customHeight="1">
      <c r="A291" s="5">
        <v>0</v>
      </c>
      <c r="B291" s="6" t="s">
        <v>1947</v>
      </c>
      <c r="C291" s="7">
        <v>1770</v>
      </c>
      <c r="D291" s="8" t="s">
        <v>1948</v>
      </c>
      <c r="E291" s="8" t="s">
        <v>1949</v>
      </c>
      <c r="F291" s="8" t="s">
        <v>1950</v>
      </c>
      <c r="G291" s="6" t="s">
        <v>83</v>
      </c>
      <c r="H291" s="6" t="s">
        <v>38</v>
      </c>
      <c r="I291" s="8" t="s">
        <v>155</v>
      </c>
      <c r="J291" s="9">
        <v>1</v>
      </c>
      <c r="K291" s="9">
        <v>384</v>
      </c>
      <c r="L291" s="9">
        <v>2024</v>
      </c>
      <c r="M291" s="8" t="s">
        <v>1951</v>
      </c>
      <c r="N291" s="8" t="s">
        <v>41</v>
      </c>
      <c r="O291" s="8" t="s">
        <v>42</v>
      </c>
      <c r="P291" s="6" t="s">
        <v>55</v>
      </c>
      <c r="Q291" s="8" t="s">
        <v>56</v>
      </c>
      <c r="R291" s="10" t="s">
        <v>45</v>
      </c>
      <c r="S291" s="11" t="s">
        <v>1952</v>
      </c>
      <c r="T291" s="6"/>
      <c r="U291" s="28" t="str">
        <f>HYPERLINK("https://media.infra-m.ru/2110/2110950/cover/2110950.jpg", "Обложка")</f>
        <v>Обложка</v>
      </c>
      <c r="V291" s="28" t="str">
        <f>HYPERLINK("https://znanium.ru/catalog/product/2110950", "Ознакомиться")</f>
        <v>Ознакомиться</v>
      </c>
      <c r="W291" s="8" t="s">
        <v>1953</v>
      </c>
      <c r="X291" s="6"/>
      <c r="Y291" s="6"/>
      <c r="Z291" s="6"/>
      <c r="AA291" s="6" t="s">
        <v>141</v>
      </c>
    </row>
    <row r="292" spans="1:27" s="4" customFormat="1" ht="51.95" customHeight="1">
      <c r="A292" s="5">
        <v>0</v>
      </c>
      <c r="B292" s="6" t="s">
        <v>1954</v>
      </c>
      <c r="C292" s="13">
        <v>640</v>
      </c>
      <c r="D292" s="8" t="s">
        <v>1955</v>
      </c>
      <c r="E292" s="8" t="s">
        <v>1956</v>
      </c>
      <c r="F292" s="8" t="s">
        <v>1942</v>
      </c>
      <c r="G292" s="6" t="s">
        <v>83</v>
      </c>
      <c r="H292" s="6" t="s">
        <v>470</v>
      </c>
      <c r="I292" s="8" t="s">
        <v>470</v>
      </c>
      <c r="J292" s="9">
        <v>1</v>
      </c>
      <c r="K292" s="9">
        <v>200</v>
      </c>
      <c r="L292" s="9">
        <v>2018</v>
      </c>
      <c r="M292" s="8" t="s">
        <v>1957</v>
      </c>
      <c r="N292" s="8" t="s">
        <v>41</v>
      </c>
      <c r="O292" s="8" t="s">
        <v>65</v>
      </c>
      <c r="P292" s="6" t="s">
        <v>55</v>
      </c>
      <c r="Q292" s="8" t="s">
        <v>56</v>
      </c>
      <c r="R292" s="10" t="s">
        <v>1944</v>
      </c>
      <c r="S292" s="11" t="s">
        <v>1958</v>
      </c>
      <c r="T292" s="6"/>
      <c r="U292" s="28" t="str">
        <f>HYPERLINK("https://media.infra-m.ru/0980/0980401/cover/980401.jpg", "Обложка")</f>
        <v>Обложка</v>
      </c>
      <c r="V292" s="28" t="str">
        <f>HYPERLINK("https://znanium.ru/catalog/product/1974384", "Ознакомиться")</f>
        <v>Ознакомиться</v>
      </c>
      <c r="W292" s="8" t="s">
        <v>1946</v>
      </c>
      <c r="X292" s="6"/>
      <c r="Y292" s="6"/>
      <c r="Z292" s="6"/>
      <c r="AA292" s="6" t="s">
        <v>47</v>
      </c>
    </row>
    <row r="293" spans="1:27" s="4" customFormat="1" ht="51.95" customHeight="1">
      <c r="A293" s="5">
        <v>0</v>
      </c>
      <c r="B293" s="6" t="s">
        <v>1959</v>
      </c>
      <c r="C293" s="7">
        <v>1584</v>
      </c>
      <c r="D293" s="8" t="s">
        <v>1960</v>
      </c>
      <c r="E293" s="8" t="s">
        <v>1961</v>
      </c>
      <c r="F293" s="8" t="s">
        <v>1962</v>
      </c>
      <c r="G293" s="6" t="s">
        <v>83</v>
      </c>
      <c r="H293" s="6" t="s">
        <v>38</v>
      </c>
      <c r="I293" s="8" t="s">
        <v>1963</v>
      </c>
      <c r="J293" s="9">
        <v>1</v>
      </c>
      <c r="K293" s="9">
        <v>344</v>
      </c>
      <c r="L293" s="9">
        <v>2023</v>
      </c>
      <c r="M293" s="8" t="s">
        <v>1964</v>
      </c>
      <c r="N293" s="8" t="s">
        <v>41</v>
      </c>
      <c r="O293" s="8" t="s">
        <v>65</v>
      </c>
      <c r="P293" s="6" t="s">
        <v>176</v>
      </c>
      <c r="Q293" s="8" t="s">
        <v>56</v>
      </c>
      <c r="R293" s="10" t="s">
        <v>1965</v>
      </c>
      <c r="S293" s="11" t="s">
        <v>1966</v>
      </c>
      <c r="T293" s="6"/>
      <c r="U293" s="28" t="str">
        <f>HYPERLINK("https://media.infra-m.ru/2057/2057736/cover/2057736.jpg", "Обложка")</f>
        <v>Обложка</v>
      </c>
      <c r="V293" s="28" t="str">
        <f>HYPERLINK("https://znanium.ru/catalog/product/2057736", "Ознакомиться")</f>
        <v>Ознакомиться</v>
      </c>
      <c r="W293" s="8" t="s">
        <v>140</v>
      </c>
      <c r="X293" s="6"/>
      <c r="Y293" s="6"/>
      <c r="Z293" s="6"/>
      <c r="AA293" s="6" t="s">
        <v>193</v>
      </c>
    </row>
    <row r="294" spans="1:27" s="4" customFormat="1" ht="42" customHeight="1">
      <c r="A294" s="5">
        <v>0</v>
      </c>
      <c r="B294" s="6" t="s">
        <v>1967</v>
      </c>
      <c r="C294" s="7">
        <v>1004</v>
      </c>
      <c r="D294" s="8" t="s">
        <v>1968</v>
      </c>
      <c r="E294" s="8" t="s">
        <v>1969</v>
      </c>
      <c r="F294" s="8" t="s">
        <v>400</v>
      </c>
      <c r="G294" s="6" t="s">
        <v>37</v>
      </c>
      <c r="H294" s="6" t="s">
        <v>38</v>
      </c>
      <c r="I294" s="8" t="s">
        <v>39</v>
      </c>
      <c r="J294" s="9">
        <v>1</v>
      </c>
      <c r="K294" s="9">
        <v>219</v>
      </c>
      <c r="L294" s="9">
        <v>2024</v>
      </c>
      <c r="M294" s="8" t="s">
        <v>1970</v>
      </c>
      <c r="N294" s="8" t="s">
        <v>74</v>
      </c>
      <c r="O294" s="8" t="s">
        <v>93</v>
      </c>
      <c r="P294" s="6" t="s">
        <v>43</v>
      </c>
      <c r="Q294" s="8" t="s">
        <v>44</v>
      </c>
      <c r="R294" s="10" t="s">
        <v>1710</v>
      </c>
      <c r="S294" s="11"/>
      <c r="T294" s="6"/>
      <c r="U294" s="28" t="str">
        <f>HYPERLINK("https://media.infra-m.ru/2108/2108511/cover/2108511.jpg", "Обложка")</f>
        <v>Обложка</v>
      </c>
      <c r="V294" s="28" t="str">
        <f>HYPERLINK("https://znanium.ru/catalog/product/1871441", "Ознакомиться")</f>
        <v>Ознакомиться</v>
      </c>
      <c r="W294" s="8" t="s">
        <v>402</v>
      </c>
      <c r="X294" s="6"/>
      <c r="Y294" s="6"/>
      <c r="Z294" s="6"/>
      <c r="AA294" s="6" t="s">
        <v>103</v>
      </c>
    </row>
    <row r="295" spans="1:27" s="4" customFormat="1" ht="42" customHeight="1">
      <c r="A295" s="5">
        <v>0</v>
      </c>
      <c r="B295" s="6" t="s">
        <v>1971</v>
      </c>
      <c r="C295" s="7">
        <v>1110</v>
      </c>
      <c r="D295" s="8" t="s">
        <v>1972</v>
      </c>
      <c r="E295" s="8" t="s">
        <v>1973</v>
      </c>
      <c r="F295" s="8" t="s">
        <v>1974</v>
      </c>
      <c r="G295" s="6" t="s">
        <v>83</v>
      </c>
      <c r="H295" s="6" t="s">
        <v>618</v>
      </c>
      <c r="I295" s="8"/>
      <c r="J295" s="9">
        <v>1</v>
      </c>
      <c r="K295" s="9">
        <v>240</v>
      </c>
      <c r="L295" s="9">
        <v>2023</v>
      </c>
      <c r="M295" s="8" t="s">
        <v>1975</v>
      </c>
      <c r="N295" s="8" t="s">
        <v>74</v>
      </c>
      <c r="O295" s="8" t="s">
        <v>93</v>
      </c>
      <c r="P295" s="6" t="s">
        <v>43</v>
      </c>
      <c r="Q295" s="8" t="s">
        <v>44</v>
      </c>
      <c r="R295" s="10" t="s">
        <v>1976</v>
      </c>
      <c r="S295" s="11"/>
      <c r="T295" s="6"/>
      <c r="U295" s="28" t="str">
        <f>HYPERLINK("https://media.infra-m.ru/2124/2124359/cover/2124359.jpg", "Обложка")</f>
        <v>Обложка</v>
      </c>
      <c r="V295" s="28" t="str">
        <f>HYPERLINK("https://znanium.ru/catalog/product/2124359", "Ознакомиться")</f>
        <v>Ознакомиться</v>
      </c>
      <c r="W295" s="8" t="s">
        <v>1334</v>
      </c>
      <c r="X295" s="6"/>
      <c r="Y295" s="6"/>
      <c r="Z295" s="6"/>
      <c r="AA295" s="6" t="s">
        <v>650</v>
      </c>
    </row>
    <row r="296" spans="1:27" s="4" customFormat="1" ht="51.95" customHeight="1">
      <c r="A296" s="5">
        <v>0</v>
      </c>
      <c r="B296" s="6" t="s">
        <v>1977</v>
      </c>
      <c r="C296" s="7">
        <v>2154</v>
      </c>
      <c r="D296" s="8" t="s">
        <v>1978</v>
      </c>
      <c r="E296" s="8" t="s">
        <v>1979</v>
      </c>
      <c r="F296" s="8" t="s">
        <v>1405</v>
      </c>
      <c r="G296" s="6" t="s">
        <v>83</v>
      </c>
      <c r="H296" s="6" t="s">
        <v>38</v>
      </c>
      <c r="I296" s="8" t="s">
        <v>164</v>
      </c>
      <c r="J296" s="9">
        <v>1</v>
      </c>
      <c r="K296" s="9">
        <v>463</v>
      </c>
      <c r="L296" s="9">
        <v>2023</v>
      </c>
      <c r="M296" s="8" t="s">
        <v>1980</v>
      </c>
      <c r="N296" s="8" t="s">
        <v>74</v>
      </c>
      <c r="O296" s="8" t="s">
        <v>394</v>
      </c>
      <c r="P296" s="6" t="s">
        <v>55</v>
      </c>
      <c r="Q296" s="8" t="s">
        <v>56</v>
      </c>
      <c r="R296" s="10" t="s">
        <v>1981</v>
      </c>
      <c r="S296" s="11" t="s">
        <v>1982</v>
      </c>
      <c r="T296" s="6"/>
      <c r="U296" s="28" t="str">
        <f>HYPERLINK("https://media.infra-m.ru/2020/2020515/cover/2020515.jpg", "Обложка")</f>
        <v>Обложка</v>
      </c>
      <c r="V296" s="28" t="str">
        <f>HYPERLINK("https://znanium.ru/catalog/product/1318618", "Ознакомиться")</f>
        <v>Ознакомиться</v>
      </c>
      <c r="W296" s="8" t="s">
        <v>1401</v>
      </c>
      <c r="X296" s="6"/>
      <c r="Y296" s="6"/>
      <c r="Z296" s="6"/>
      <c r="AA296" s="6" t="s">
        <v>103</v>
      </c>
    </row>
    <row r="297" spans="1:27" s="4" customFormat="1" ht="42" customHeight="1">
      <c r="A297" s="5">
        <v>0</v>
      </c>
      <c r="B297" s="6" t="s">
        <v>1983</v>
      </c>
      <c r="C297" s="7">
        <v>2294</v>
      </c>
      <c r="D297" s="8" t="s">
        <v>1984</v>
      </c>
      <c r="E297" s="8" t="s">
        <v>1985</v>
      </c>
      <c r="F297" s="8" t="s">
        <v>1986</v>
      </c>
      <c r="G297" s="6" t="s">
        <v>123</v>
      </c>
      <c r="H297" s="6" t="s">
        <v>725</v>
      </c>
      <c r="I297" s="8"/>
      <c r="J297" s="9">
        <v>1</v>
      </c>
      <c r="K297" s="9">
        <v>576</v>
      </c>
      <c r="L297" s="9">
        <v>2024</v>
      </c>
      <c r="M297" s="8" t="s">
        <v>1987</v>
      </c>
      <c r="N297" s="8" t="s">
        <v>41</v>
      </c>
      <c r="O297" s="8" t="s">
        <v>42</v>
      </c>
      <c r="P297" s="6" t="s">
        <v>1988</v>
      </c>
      <c r="Q297" s="8" t="s">
        <v>44</v>
      </c>
      <c r="R297" s="10" t="s">
        <v>1989</v>
      </c>
      <c r="S297" s="11"/>
      <c r="T297" s="6"/>
      <c r="U297" s="28" t="str">
        <f>HYPERLINK("https://media.infra-m.ru/2148/2148498/cover/2148498.jpg", "Обложка")</f>
        <v>Обложка</v>
      </c>
      <c r="V297" s="28" t="str">
        <f>HYPERLINK("https://znanium.ru/catalog/product/1842564", "Ознакомиться")</f>
        <v>Ознакомиться</v>
      </c>
      <c r="W297" s="8" t="s">
        <v>140</v>
      </c>
      <c r="X297" s="6"/>
      <c r="Y297" s="6"/>
      <c r="Z297" s="6"/>
      <c r="AA297" s="6" t="s">
        <v>1500</v>
      </c>
    </row>
    <row r="298" spans="1:27" s="4" customFormat="1" ht="42" customHeight="1">
      <c r="A298" s="5">
        <v>0</v>
      </c>
      <c r="B298" s="6" t="s">
        <v>1990</v>
      </c>
      <c r="C298" s="7">
        <v>1050</v>
      </c>
      <c r="D298" s="8" t="s">
        <v>1991</v>
      </c>
      <c r="E298" s="8" t="s">
        <v>1992</v>
      </c>
      <c r="F298" s="8" t="s">
        <v>1993</v>
      </c>
      <c r="G298" s="6" t="s">
        <v>123</v>
      </c>
      <c r="H298" s="6" t="s">
        <v>38</v>
      </c>
      <c r="I298" s="8" t="s">
        <v>39</v>
      </c>
      <c r="J298" s="9">
        <v>1</v>
      </c>
      <c r="K298" s="9">
        <v>218</v>
      </c>
      <c r="L298" s="9">
        <v>2023</v>
      </c>
      <c r="M298" s="8" t="s">
        <v>1994</v>
      </c>
      <c r="N298" s="8" t="s">
        <v>74</v>
      </c>
      <c r="O298" s="8" t="s">
        <v>1559</v>
      </c>
      <c r="P298" s="6" t="s">
        <v>43</v>
      </c>
      <c r="Q298" s="8" t="s">
        <v>44</v>
      </c>
      <c r="R298" s="10" t="s">
        <v>1995</v>
      </c>
      <c r="S298" s="11"/>
      <c r="T298" s="6"/>
      <c r="U298" s="28" t="str">
        <f>HYPERLINK("https://media.infra-m.ru/1921/1921365/cover/1921365.jpg", "Обложка")</f>
        <v>Обложка</v>
      </c>
      <c r="V298" s="28" t="str">
        <f>HYPERLINK("https://znanium.ru/catalog/product/1921365", "Ознакомиться")</f>
        <v>Ознакомиться</v>
      </c>
      <c r="W298" s="8" t="s">
        <v>1996</v>
      </c>
      <c r="X298" s="6" t="s">
        <v>1997</v>
      </c>
      <c r="Y298" s="6"/>
      <c r="Z298" s="6"/>
      <c r="AA298" s="6" t="s">
        <v>111</v>
      </c>
    </row>
    <row r="299" spans="1:27" s="4" customFormat="1" ht="51.95" customHeight="1">
      <c r="A299" s="5">
        <v>0</v>
      </c>
      <c r="B299" s="6" t="s">
        <v>1998</v>
      </c>
      <c r="C299" s="13">
        <v>590</v>
      </c>
      <c r="D299" s="8" t="s">
        <v>1999</v>
      </c>
      <c r="E299" s="8" t="s">
        <v>2000</v>
      </c>
      <c r="F299" s="8" t="s">
        <v>2001</v>
      </c>
      <c r="G299" s="6" t="s">
        <v>37</v>
      </c>
      <c r="H299" s="6" t="s">
        <v>38</v>
      </c>
      <c r="I299" s="8" t="s">
        <v>39</v>
      </c>
      <c r="J299" s="9">
        <v>1</v>
      </c>
      <c r="K299" s="9">
        <v>110</v>
      </c>
      <c r="L299" s="9">
        <v>2024</v>
      </c>
      <c r="M299" s="8" t="s">
        <v>2002</v>
      </c>
      <c r="N299" s="8" t="s">
        <v>41</v>
      </c>
      <c r="O299" s="8" t="s">
        <v>65</v>
      </c>
      <c r="P299" s="6" t="s">
        <v>43</v>
      </c>
      <c r="Q299" s="8" t="s">
        <v>44</v>
      </c>
      <c r="R299" s="10" t="s">
        <v>2003</v>
      </c>
      <c r="S299" s="11"/>
      <c r="T299" s="6"/>
      <c r="U299" s="28" t="str">
        <f>HYPERLINK("https://media.infra-m.ru/2140/2140609/cover/2140609.jpg", "Обложка")</f>
        <v>Обложка</v>
      </c>
      <c r="V299" s="28" t="str">
        <f>HYPERLINK("https://znanium.ru/catalog/product/2140609", "Ознакомиться")</f>
        <v>Ознакомиться</v>
      </c>
      <c r="W299" s="8" t="s">
        <v>247</v>
      </c>
      <c r="X299" s="6"/>
      <c r="Y299" s="6"/>
      <c r="Z299" s="6"/>
      <c r="AA299" s="6" t="s">
        <v>312</v>
      </c>
    </row>
    <row r="300" spans="1:27" s="4" customFormat="1" ht="42" customHeight="1">
      <c r="A300" s="5">
        <v>0</v>
      </c>
      <c r="B300" s="6" t="s">
        <v>2004</v>
      </c>
      <c r="C300" s="7">
        <v>1000</v>
      </c>
      <c r="D300" s="8" t="s">
        <v>2005</v>
      </c>
      <c r="E300" s="8" t="s">
        <v>2006</v>
      </c>
      <c r="F300" s="8" t="s">
        <v>2007</v>
      </c>
      <c r="G300" s="6" t="s">
        <v>83</v>
      </c>
      <c r="H300" s="6" t="s">
        <v>317</v>
      </c>
      <c r="I300" s="8" t="s">
        <v>155</v>
      </c>
      <c r="J300" s="9">
        <v>1</v>
      </c>
      <c r="K300" s="9">
        <v>218</v>
      </c>
      <c r="L300" s="9">
        <v>2024</v>
      </c>
      <c r="M300" s="8" t="s">
        <v>2008</v>
      </c>
      <c r="N300" s="8" t="s">
        <v>74</v>
      </c>
      <c r="O300" s="8" t="s">
        <v>75</v>
      </c>
      <c r="P300" s="6" t="s">
        <v>55</v>
      </c>
      <c r="Q300" s="8" t="s">
        <v>56</v>
      </c>
      <c r="R300" s="10" t="s">
        <v>460</v>
      </c>
      <c r="S300" s="11"/>
      <c r="T300" s="6"/>
      <c r="U300" s="28" t="str">
        <f>HYPERLINK("https://media.infra-m.ru/2102/2102658/cover/2102658.jpg", "Обложка")</f>
        <v>Обложка</v>
      </c>
      <c r="V300" s="12"/>
      <c r="W300" s="8" t="s">
        <v>2009</v>
      </c>
      <c r="X300" s="6"/>
      <c r="Y300" s="6"/>
      <c r="Z300" s="6"/>
      <c r="AA300" s="6" t="s">
        <v>68</v>
      </c>
    </row>
    <row r="301" spans="1:27" s="4" customFormat="1" ht="51.95" customHeight="1">
      <c r="A301" s="5">
        <v>0</v>
      </c>
      <c r="B301" s="6" t="s">
        <v>2010</v>
      </c>
      <c r="C301" s="7">
        <v>1150</v>
      </c>
      <c r="D301" s="8" t="s">
        <v>2011</v>
      </c>
      <c r="E301" s="8" t="s">
        <v>2012</v>
      </c>
      <c r="F301" s="8" t="s">
        <v>2013</v>
      </c>
      <c r="G301" s="6" t="s">
        <v>83</v>
      </c>
      <c r="H301" s="6" t="s">
        <v>317</v>
      </c>
      <c r="I301" s="8" t="s">
        <v>492</v>
      </c>
      <c r="J301" s="9">
        <v>1</v>
      </c>
      <c r="K301" s="9">
        <v>242</v>
      </c>
      <c r="L301" s="9">
        <v>2023</v>
      </c>
      <c r="M301" s="8" t="s">
        <v>2014</v>
      </c>
      <c r="N301" s="8" t="s">
        <v>74</v>
      </c>
      <c r="O301" s="8" t="s">
        <v>75</v>
      </c>
      <c r="P301" s="6" t="s">
        <v>55</v>
      </c>
      <c r="Q301" s="8" t="s">
        <v>56</v>
      </c>
      <c r="R301" s="10" t="s">
        <v>2015</v>
      </c>
      <c r="S301" s="11"/>
      <c r="T301" s="6"/>
      <c r="U301" s="28" t="str">
        <f>HYPERLINK("https://media.infra-m.ru/1900/1900599/cover/1900599.jpg", "Обложка")</f>
        <v>Обложка</v>
      </c>
      <c r="V301" s="28" t="str">
        <f>HYPERLINK("https://znanium.ru/catalog/product/1900599", "Ознакомиться")</f>
        <v>Ознакомиться</v>
      </c>
      <c r="W301" s="8" t="s">
        <v>1841</v>
      </c>
      <c r="X301" s="6"/>
      <c r="Y301" s="6"/>
      <c r="Z301" s="6"/>
      <c r="AA301" s="6" t="s">
        <v>650</v>
      </c>
    </row>
    <row r="302" spans="1:27" s="4" customFormat="1" ht="42" customHeight="1">
      <c r="A302" s="5">
        <v>0</v>
      </c>
      <c r="B302" s="6" t="s">
        <v>2016</v>
      </c>
      <c r="C302" s="13">
        <v>654</v>
      </c>
      <c r="D302" s="8" t="s">
        <v>2017</v>
      </c>
      <c r="E302" s="8" t="s">
        <v>2018</v>
      </c>
      <c r="F302" s="8" t="s">
        <v>2019</v>
      </c>
      <c r="G302" s="6" t="s">
        <v>37</v>
      </c>
      <c r="H302" s="6" t="s">
        <v>38</v>
      </c>
      <c r="I302" s="8" t="s">
        <v>155</v>
      </c>
      <c r="J302" s="9">
        <v>1</v>
      </c>
      <c r="K302" s="9">
        <v>144</v>
      </c>
      <c r="L302" s="9">
        <v>2023</v>
      </c>
      <c r="M302" s="8" t="s">
        <v>2020</v>
      </c>
      <c r="N302" s="8" t="s">
        <v>74</v>
      </c>
      <c r="O302" s="8" t="s">
        <v>93</v>
      </c>
      <c r="P302" s="6" t="s">
        <v>2021</v>
      </c>
      <c r="Q302" s="8" t="s">
        <v>177</v>
      </c>
      <c r="R302" s="10" t="s">
        <v>2022</v>
      </c>
      <c r="S302" s="11"/>
      <c r="T302" s="6"/>
      <c r="U302" s="28" t="str">
        <f>HYPERLINK("https://media.infra-m.ru/1969/1969534/cover/1969534.jpg", "Обложка")</f>
        <v>Обложка</v>
      </c>
      <c r="V302" s="28" t="str">
        <f>HYPERLINK("https://znanium.ru/catalog/product/1904349", "Ознакомиться")</f>
        <v>Ознакомиться</v>
      </c>
      <c r="W302" s="8" t="s">
        <v>1005</v>
      </c>
      <c r="X302" s="6"/>
      <c r="Y302" s="6"/>
      <c r="Z302" s="6"/>
      <c r="AA302" s="6" t="s">
        <v>103</v>
      </c>
    </row>
    <row r="303" spans="1:27" s="4" customFormat="1" ht="51.95" customHeight="1">
      <c r="A303" s="5">
        <v>0</v>
      </c>
      <c r="B303" s="6" t="s">
        <v>2023</v>
      </c>
      <c r="C303" s="13">
        <v>900</v>
      </c>
      <c r="D303" s="8" t="s">
        <v>2024</v>
      </c>
      <c r="E303" s="8" t="s">
        <v>2025</v>
      </c>
      <c r="F303" s="8" t="s">
        <v>2026</v>
      </c>
      <c r="G303" s="6" t="s">
        <v>37</v>
      </c>
      <c r="H303" s="6" t="s">
        <v>38</v>
      </c>
      <c r="I303" s="8" t="s">
        <v>39</v>
      </c>
      <c r="J303" s="9">
        <v>1</v>
      </c>
      <c r="K303" s="9">
        <v>194</v>
      </c>
      <c r="L303" s="9">
        <v>2024</v>
      </c>
      <c r="M303" s="8" t="s">
        <v>2027</v>
      </c>
      <c r="N303" s="8" t="s">
        <v>41</v>
      </c>
      <c r="O303" s="8" t="s">
        <v>42</v>
      </c>
      <c r="P303" s="6" t="s">
        <v>43</v>
      </c>
      <c r="Q303" s="8" t="s">
        <v>44</v>
      </c>
      <c r="R303" s="10" t="s">
        <v>2028</v>
      </c>
      <c r="S303" s="11"/>
      <c r="T303" s="6" t="s">
        <v>190</v>
      </c>
      <c r="U303" s="28" t="str">
        <f>HYPERLINK("https://media.infra-m.ru/2086/2086809/cover/2086809.jpg", "Обложка")</f>
        <v>Обложка</v>
      </c>
      <c r="V303" s="28" t="str">
        <f>HYPERLINK("https://znanium.ru/catalog/product/2086809", "Ознакомиться")</f>
        <v>Ознакомиться</v>
      </c>
      <c r="W303" s="8" t="s">
        <v>2029</v>
      </c>
      <c r="X303" s="6"/>
      <c r="Y303" s="6"/>
      <c r="Z303" s="6"/>
      <c r="AA303" s="6" t="s">
        <v>141</v>
      </c>
    </row>
    <row r="304" spans="1:27" s="4" customFormat="1" ht="42" customHeight="1">
      <c r="A304" s="5">
        <v>0</v>
      </c>
      <c r="B304" s="6" t="s">
        <v>2030</v>
      </c>
      <c r="C304" s="13">
        <v>734</v>
      </c>
      <c r="D304" s="8" t="s">
        <v>2031</v>
      </c>
      <c r="E304" s="8" t="s">
        <v>2032</v>
      </c>
      <c r="F304" s="8" t="s">
        <v>2033</v>
      </c>
      <c r="G304" s="6" t="s">
        <v>37</v>
      </c>
      <c r="H304" s="6" t="s">
        <v>38</v>
      </c>
      <c r="I304" s="8" t="s">
        <v>39</v>
      </c>
      <c r="J304" s="9">
        <v>1</v>
      </c>
      <c r="K304" s="9">
        <v>156</v>
      </c>
      <c r="L304" s="9">
        <v>2024</v>
      </c>
      <c r="M304" s="8" t="s">
        <v>2034</v>
      </c>
      <c r="N304" s="8" t="s">
        <v>41</v>
      </c>
      <c r="O304" s="8" t="s">
        <v>42</v>
      </c>
      <c r="P304" s="6" t="s">
        <v>43</v>
      </c>
      <c r="Q304" s="8" t="s">
        <v>44</v>
      </c>
      <c r="R304" s="10" t="s">
        <v>2035</v>
      </c>
      <c r="S304" s="11"/>
      <c r="T304" s="6"/>
      <c r="U304" s="28" t="str">
        <f>HYPERLINK("https://media.infra-m.ru/2136/2136047/cover/2136047.jpg", "Обложка")</f>
        <v>Обложка</v>
      </c>
      <c r="V304" s="28" t="str">
        <f>HYPERLINK("https://znanium.ru/catalog/product/1009608", "Ознакомиться")</f>
        <v>Ознакомиться</v>
      </c>
      <c r="W304" s="8" t="s">
        <v>2036</v>
      </c>
      <c r="X304" s="6"/>
      <c r="Y304" s="6"/>
      <c r="Z304" s="6"/>
      <c r="AA304" s="6" t="s">
        <v>68</v>
      </c>
    </row>
    <row r="305" spans="1:27" s="4" customFormat="1" ht="42" customHeight="1">
      <c r="A305" s="5">
        <v>0</v>
      </c>
      <c r="B305" s="6" t="s">
        <v>2037</v>
      </c>
      <c r="C305" s="13">
        <v>970</v>
      </c>
      <c r="D305" s="8" t="s">
        <v>2038</v>
      </c>
      <c r="E305" s="8" t="s">
        <v>2039</v>
      </c>
      <c r="F305" s="8" t="s">
        <v>2040</v>
      </c>
      <c r="G305" s="6" t="s">
        <v>83</v>
      </c>
      <c r="H305" s="6" t="s">
        <v>317</v>
      </c>
      <c r="I305" s="8" t="s">
        <v>155</v>
      </c>
      <c r="J305" s="9">
        <v>1</v>
      </c>
      <c r="K305" s="9">
        <v>216</v>
      </c>
      <c r="L305" s="9">
        <v>2023</v>
      </c>
      <c r="M305" s="8" t="s">
        <v>2041</v>
      </c>
      <c r="N305" s="8" t="s">
        <v>74</v>
      </c>
      <c r="O305" s="8" t="s">
        <v>75</v>
      </c>
      <c r="P305" s="6" t="s">
        <v>55</v>
      </c>
      <c r="Q305" s="8" t="s">
        <v>56</v>
      </c>
      <c r="R305" s="10" t="s">
        <v>2042</v>
      </c>
      <c r="S305" s="11"/>
      <c r="T305" s="6"/>
      <c r="U305" s="28" t="str">
        <f>HYPERLINK("https://media.infra-m.ru/1915/1915900/cover/1915900.jpg", "Обложка")</f>
        <v>Обложка</v>
      </c>
      <c r="V305" s="28" t="str">
        <f>HYPERLINK("https://znanium.ru/catalog/product/1915900", "Ознакомиться")</f>
        <v>Ознакомиться</v>
      </c>
      <c r="W305" s="8" t="s">
        <v>1841</v>
      </c>
      <c r="X305" s="6"/>
      <c r="Y305" s="6"/>
      <c r="Z305" s="6"/>
      <c r="AA305" s="6" t="s">
        <v>768</v>
      </c>
    </row>
    <row r="306" spans="1:27" s="4" customFormat="1" ht="42" customHeight="1">
      <c r="A306" s="5">
        <v>0</v>
      </c>
      <c r="B306" s="6" t="s">
        <v>2043</v>
      </c>
      <c r="C306" s="13">
        <v>639.9</v>
      </c>
      <c r="D306" s="8" t="s">
        <v>2044</v>
      </c>
      <c r="E306" s="8" t="s">
        <v>2045</v>
      </c>
      <c r="F306" s="8" t="s">
        <v>2046</v>
      </c>
      <c r="G306" s="6" t="s">
        <v>123</v>
      </c>
      <c r="H306" s="6" t="s">
        <v>317</v>
      </c>
      <c r="I306" s="8" t="s">
        <v>492</v>
      </c>
      <c r="J306" s="9">
        <v>1</v>
      </c>
      <c r="K306" s="9">
        <v>216</v>
      </c>
      <c r="L306" s="9">
        <v>2017</v>
      </c>
      <c r="M306" s="8" t="s">
        <v>2047</v>
      </c>
      <c r="N306" s="8" t="s">
        <v>74</v>
      </c>
      <c r="O306" s="8" t="s">
        <v>75</v>
      </c>
      <c r="P306" s="6" t="s">
        <v>55</v>
      </c>
      <c r="Q306" s="8" t="s">
        <v>56</v>
      </c>
      <c r="R306" s="10" t="s">
        <v>2042</v>
      </c>
      <c r="S306" s="11"/>
      <c r="T306" s="6"/>
      <c r="U306" s="28" t="str">
        <f>HYPERLINK("https://media.infra-m.ru/0892/0892482/cover/892482.jpg", "Обложка")</f>
        <v>Обложка</v>
      </c>
      <c r="V306" s="28" t="str">
        <f>HYPERLINK("https://znanium.ru/catalog/product/1915900", "Ознакомиться")</f>
        <v>Ознакомиться</v>
      </c>
      <c r="W306" s="8" t="s">
        <v>1841</v>
      </c>
      <c r="X306" s="6"/>
      <c r="Y306" s="6"/>
      <c r="Z306" s="6"/>
      <c r="AA306" s="6" t="s">
        <v>650</v>
      </c>
    </row>
    <row r="307" spans="1:27" s="4" customFormat="1" ht="42" customHeight="1">
      <c r="A307" s="5">
        <v>0</v>
      </c>
      <c r="B307" s="6" t="s">
        <v>2048</v>
      </c>
      <c r="C307" s="7">
        <v>1280</v>
      </c>
      <c r="D307" s="8" t="s">
        <v>2049</v>
      </c>
      <c r="E307" s="8" t="s">
        <v>2050</v>
      </c>
      <c r="F307" s="8" t="s">
        <v>2051</v>
      </c>
      <c r="G307" s="6" t="s">
        <v>83</v>
      </c>
      <c r="H307" s="6" t="s">
        <v>38</v>
      </c>
      <c r="I307" s="8" t="s">
        <v>39</v>
      </c>
      <c r="J307" s="9">
        <v>1</v>
      </c>
      <c r="K307" s="9">
        <v>376</v>
      </c>
      <c r="L307" s="9">
        <v>2020</v>
      </c>
      <c r="M307" s="8" t="s">
        <v>2052</v>
      </c>
      <c r="N307" s="8" t="s">
        <v>41</v>
      </c>
      <c r="O307" s="8" t="s">
        <v>65</v>
      </c>
      <c r="P307" s="6" t="s">
        <v>43</v>
      </c>
      <c r="Q307" s="8" t="s">
        <v>44</v>
      </c>
      <c r="R307" s="10" t="s">
        <v>2053</v>
      </c>
      <c r="S307" s="11"/>
      <c r="T307" s="6"/>
      <c r="U307" s="28" t="str">
        <f>HYPERLINK("https://media.infra-m.ru/1039/1039934/cover/1039934.jpg", "Обложка")</f>
        <v>Обложка</v>
      </c>
      <c r="V307" s="28" t="str">
        <f>HYPERLINK("https://znanium.ru/catalog/product/1039934", "Ознакомиться")</f>
        <v>Ознакомиться</v>
      </c>
      <c r="W307" s="8" t="s">
        <v>1028</v>
      </c>
      <c r="X307" s="6"/>
      <c r="Y307" s="6"/>
      <c r="Z307" s="6"/>
      <c r="AA307" s="6" t="s">
        <v>78</v>
      </c>
    </row>
    <row r="308" spans="1:27" s="4" customFormat="1" ht="51.95" customHeight="1">
      <c r="A308" s="5">
        <v>0</v>
      </c>
      <c r="B308" s="6" t="s">
        <v>2054</v>
      </c>
      <c r="C308" s="7">
        <v>1580</v>
      </c>
      <c r="D308" s="8" t="s">
        <v>2055</v>
      </c>
      <c r="E308" s="8" t="s">
        <v>2056</v>
      </c>
      <c r="F308" s="8" t="s">
        <v>2057</v>
      </c>
      <c r="G308" s="6" t="s">
        <v>83</v>
      </c>
      <c r="H308" s="6" t="s">
        <v>38</v>
      </c>
      <c r="I308" s="8" t="s">
        <v>884</v>
      </c>
      <c r="J308" s="9">
        <v>1</v>
      </c>
      <c r="K308" s="9">
        <v>336</v>
      </c>
      <c r="L308" s="9">
        <v>2024</v>
      </c>
      <c r="M308" s="8" t="s">
        <v>2058</v>
      </c>
      <c r="N308" s="8" t="s">
        <v>41</v>
      </c>
      <c r="O308" s="8" t="s">
        <v>65</v>
      </c>
      <c r="P308" s="6" t="s">
        <v>176</v>
      </c>
      <c r="Q308" s="8" t="s">
        <v>594</v>
      </c>
      <c r="R308" s="10" t="s">
        <v>1124</v>
      </c>
      <c r="S308" s="11" t="s">
        <v>2059</v>
      </c>
      <c r="T308" s="6"/>
      <c r="U308" s="28" t="str">
        <f>HYPERLINK("https://media.infra-m.ru/2115/2115322/cover/2115322.jpg", "Обложка")</f>
        <v>Обложка</v>
      </c>
      <c r="V308" s="28" t="str">
        <f>HYPERLINK("https://znanium.ru/catalog/product/2115322", "Ознакомиться")</f>
        <v>Ознакомиться</v>
      </c>
      <c r="W308" s="8" t="s">
        <v>2060</v>
      </c>
      <c r="X308" s="6"/>
      <c r="Y308" s="6"/>
      <c r="Z308" s="6"/>
      <c r="AA308" s="6" t="s">
        <v>111</v>
      </c>
    </row>
    <row r="309" spans="1:27" s="4" customFormat="1" ht="51.95" customHeight="1">
      <c r="A309" s="5">
        <v>0</v>
      </c>
      <c r="B309" s="6" t="s">
        <v>2061</v>
      </c>
      <c r="C309" s="13">
        <v>654</v>
      </c>
      <c r="D309" s="8" t="s">
        <v>2062</v>
      </c>
      <c r="E309" s="8" t="s">
        <v>2063</v>
      </c>
      <c r="F309" s="8" t="s">
        <v>1721</v>
      </c>
      <c r="G309" s="6" t="s">
        <v>37</v>
      </c>
      <c r="H309" s="6" t="s">
        <v>38</v>
      </c>
      <c r="I309" s="8" t="s">
        <v>164</v>
      </c>
      <c r="J309" s="9">
        <v>1</v>
      </c>
      <c r="K309" s="9">
        <v>181</v>
      </c>
      <c r="L309" s="9">
        <v>2019</v>
      </c>
      <c r="M309" s="8" t="s">
        <v>2064</v>
      </c>
      <c r="N309" s="8" t="s">
        <v>41</v>
      </c>
      <c r="O309" s="8" t="s">
        <v>65</v>
      </c>
      <c r="P309" s="6" t="s">
        <v>55</v>
      </c>
      <c r="Q309" s="8" t="s">
        <v>56</v>
      </c>
      <c r="R309" s="10" t="s">
        <v>2065</v>
      </c>
      <c r="S309" s="11" t="s">
        <v>2066</v>
      </c>
      <c r="T309" s="6"/>
      <c r="U309" s="28" t="str">
        <f>HYPERLINK("https://media.infra-m.ru/1010/1010017/cover/1010017.jpg", "Обложка")</f>
        <v>Обложка</v>
      </c>
      <c r="V309" s="28" t="str">
        <f>HYPERLINK("https://znanium.ru/catalog/product/1010017", "Ознакомиться")</f>
        <v>Ознакомиться</v>
      </c>
      <c r="W309" s="8" t="s">
        <v>1028</v>
      </c>
      <c r="X309" s="6"/>
      <c r="Y309" s="6"/>
      <c r="Z309" s="6"/>
      <c r="AA309" s="6" t="s">
        <v>364</v>
      </c>
    </row>
    <row r="310" spans="1:27" s="4" customFormat="1" ht="42" customHeight="1">
      <c r="A310" s="5">
        <v>0</v>
      </c>
      <c r="B310" s="6" t="s">
        <v>2067</v>
      </c>
      <c r="C310" s="13">
        <v>900</v>
      </c>
      <c r="D310" s="8" t="s">
        <v>2068</v>
      </c>
      <c r="E310" s="8" t="s">
        <v>2069</v>
      </c>
      <c r="F310" s="8" t="s">
        <v>1102</v>
      </c>
      <c r="G310" s="6" t="s">
        <v>83</v>
      </c>
      <c r="H310" s="6" t="s">
        <v>38</v>
      </c>
      <c r="I310" s="8" t="s">
        <v>39</v>
      </c>
      <c r="J310" s="9">
        <v>1</v>
      </c>
      <c r="K310" s="9">
        <v>195</v>
      </c>
      <c r="L310" s="9">
        <v>2024</v>
      </c>
      <c r="M310" s="8" t="s">
        <v>2070</v>
      </c>
      <c r="N310" s="8" t="s">
        <v>41</v>
      </c>
      <c r="O310" s="8" t="s">
        <v>42</v>
      </c>
      <c r="P310" s="6" t="s">
        <v>43</v>
      </c>
      <c r="Q310" s="8" t="s">
        <v>44</v>
      </c>
      <c r="R310" s="10" t="s">
        <v>2071</v>
      </c>
      <c r="S310" s="11"/>
      <c r="T310" s="6"/>
      <c r="U310" s="28" t="str">
        <f>HYPERLINK("https://media.infra-m.ru/2111/2111402/cover/2111402.jpg", "Обложка")</f>
        <v>Обложка</v>
      </c>
      <c r="V310" s="28" t="str">
        <f>HYPERLINK("https://znanium.ru/catalog/product/2111402", "Ознакомиться")</f>
        <v>Ознакомиться</v>
      </c>
      <c r="W310" s="8" t="s">
        <v>1105</v>
      </c>
      <c r="X310" s="6"/>
      <c r="Y310" s="6"/>
      <c r="Z310" s="6"/>
      <c r="AA310" s="6" t="s">
        <v>68</v>
      </c>
    </row>
    <row r="311" spans="1:27" s="4" customFormat="1" ht="42" customHeight="1">
      <c r="A311" s="5">
        <v>0</v>
      </c>
      <c r="B311" s="6" t="s">
        <v>2072</v>
      </c>
      <c r="C311" s="7">
        <v>1310</v>
      </c>
      <c r="D311" s="8" t="s">
        <v>2073</v>
      </c>
      <c r="E311" s="8" t="s">
        <v>2074</v>
      </c>
      <c r="F311" s="8" t="s">
        <v>2075</v>
      </c>
      <c r="G311" s="6" t="s">
        <v>37</v>
      </c>
      <c r="H311" s="6" t="s">
        <v>38</v>
      </c>
      <c r="I311" s="8" t="s">
        <v>39</v>
      </c>
      <c r="J311" s="9">
        <v>1</v>
      </c>
      <c r="K311" s="9">
        <v>291</v>
      </c>
      <c r="L311" s="9">
        <v>2023</v>
      </c>
      <c r="M311" s="8" t="s">
        <v>2076</v>
      </c>
      <c r="N311" s="8" t="s">
        <v>41</v>
      </c>
      <c r="O311" s="8" t="s">
        <v>42</v>
      </c>
      <c r="P311" s="6" t="s">
        <v>43</v>
      </c>
      <c r="Q311" s="8" t="s">
        <v>44</v>
      </c>
      <c r="R311" s="10" t="s">
        <v>2077</v>
      </c>
      <c r="S311" s="11"/>
      <c r="T311" s="6"/>
      <c r="U311" s="28" t="str">
        <f>HYPERLINK("https://media.infra-m.ru/1867/1867632/cover/1867632.jpg", "Обложка")</f>
        <v>Обложка</v>
      </c>
      <c r="V311" s="28" t="str">
        <f>HYPERLINK("https://znanium.ru/catalog/product/1867632", "Ознакомиться")</f>
        <v>Ознакомиться</v>
      </c>
      <c r="W311" s="8" t="s">
        <v>1764</v>
      </c>
      <c r="X311" s="6"/>
      <c r="Y311" s="6"/>
      <c r="Z311" s="6"/>
      <c r="AA311" s="6" t="s">
        <v>111</v>
      </c>
    </row>
    <row r="312" spans="1:27" s="4" customFormat="1" ht="42" customHeight="1">
      <c r="A312" s="5">
        <v>0</v>
      </c>
      <c r="B312" s="6" t="s">
        <v>2078</v>
      </c>
      <c r="C312" s="7">
        <v>1470</v>
      </c>
      <c r="D312" s="8" t="s">
        <v>2079</v>
      </c>
      <c r="E312" s="8" t="s">
        <v>2080</v>
      </c>
      <c r="F312" s="8" t="s">
        <v>2081</v>
      </c>
      <c r="G312" s="6" t="s">
        <v>83</v>
      </c>
      <c r="H312" s="6" t="s">
        <v>52</v>
      </c>
      <c r="I312" s="8"/>
      <c r="J312" s="9">
        <v>1</v>
      </c>
      <c r="K312" s="9">
        <v>319</v>
      </c>
      <c r="L312" s="9">
        <v>2023</v>
      </c>
      <c r="M312" s="8" t="s">
        <v>2082</v>
      </c>
      <c r="N312" s="8" t="s">
        <v>41</v>
      </c>
      <c r="O312" s="8" t="s">
        <v>42</v>
      </c>
      <c r="P312" s="6" t="s">
        <v>55</v>
      </c>
      <c r="Q312" s="8" t="s">
        <v>56</v>
      </c>
      <c r="R312" s="10" t="s">
        <v>2083</v>
      </c>
      <c r="S312" s="11"/>
      <c r="T312" s="6"/>
      <c r="U312" s="28" t="str">
        <f>HYPERLINK("https://media.infra-m.ru/2124/2124361/cover/2124361.jpg", "Обложка")</f>
        <v>Обложка</v>
      </c>
      <c r="V312" s="12"/>
      <c r="W312" s="8" t="s">
        <v>2084</v>
      </c>
      <c r="X312" s="6"/>
      <c r="Y312" s="6"/>
      <c r="Z312" s="6"/>
      <c r="AA312" s="6" t="s">
        <v>1772</v>
      </c>
    </row>
    <row r="313" spans="1:27" s="4" customFormat="1" ht="51.95" customHeight="1">
      <c r="A313" s="5">
        <v>0</v>
      </c>
      <c r="B313" s="6" t="s">
        <v>2085</v>
      </c>
      <c r="C313" s="7">
        <v>2400</v>
      </c>
      <c r="D313" s="8" t="s">
        <v>2086</v>
      </c>
      <c r="E313" s="8" t="s">
        <v>2087</v>
      </c>
      <c r="F313" s="8" t="s">
        <v>2088</v>
      </c>
      <c r="G313" s="6" t="s">
        <v>83</v>
      </c>
      <c r="H313" s="6" t="s">
        <v>38</v>
      </c>
      <c r="I313" s="8" t="s">
        <v>185</v>
      </c>
      <c r="J313" s="9">
        <v>1</v>
      </c>
      <c r="K313" s="9">
        <v>539</v>
      </c>
      <c r="L313" s="9">
        <v>2023</v>
      </c>
      <c r="M313" s="8" t="s">
        <v>2089</v>
      </c>
      <c r="N313" s="8" t="s">
        <v>74</v>
      </c>
      <c r="O313" s="8" t="s">
        <v>109</v>
      </c>
      <c r="P313" s="6" t="s">
        <v>176</v>
      </c>
      <c r="Q313" s="8" t="s">
        <v>187</v>
      </c>
      <c r="R313" s="10" t="s">
        <v>2090</v>
      </c>
      <c r="S313" s="11" t="s">
        <v>2091</v>
      </c>
      <c r="T313" s="6"/>
      <c r="U313" s="28" t="str">
        <f>HYPERLINK("https://media.infra-m.ru/2002/2002637/cover/2002637.jpg", "Обложка")</f>
        <v>Обложка</v>
      </c>
      <c r="V313" s="28" t="str">
        <f>HYPERLINK("https://znanium.ru/catalog/product/2002637", "Ознакомиться")</f>
        <v>Ознакомиться</v>
      </c>
      <c r="W313" s="8" t="s">
        <v>273</v>
      </c>
      <c r="X313" s="6"/>
      <c r="Y313" s="6"/>
      <c r="Z313" s="6"/>
      <c r="AA313" s="6" t="s">
        <v>68</v>
      </c>
    </row>
    <row r="314" spans="1:27" s="4" customFormat="1" ht="51.95" customHeight="1">
      <c r="A314" s="5">
        <v>0</v>
      </c>
      <c r="B314" s="6" t="s">
        <v>2092</v>
      </c>
      <c r="C314" s="13">
        <v>590</v>
      </c>
      <c r="D314" s="8" t="s">
        <v>2093</v>
      </c>
      <c r="E314" s="8" t="s">
        <v>2094</v>
      </c>
      <c r="F314" s="8" t="s">
        <v>2095</v>
      </c>
      <c r="G314" s="6" t="s">
        <v>37</v>
      </c>
      <c r="H314" s="6" t="s">
        <v>38</v>
      </c>
      <c r="I314" s="8" t="s">
        <v>164</v>
      </c>
      <c r="J314" s="9">
        <v>1</v>
      </c>
      <c r="K314" s="9">
        <v>156</v>
      </c>
      <c r="L314" s="9">
        <v>2022</v>
      </c>
      <c r="M314" s="8" t="s">
        <v>2096</v>
      </c>
      <c r="N314" s="8" t="s">
        <v>74</v>
      </c>
      <c r="O314" s="8" t="s">
        <v>75</v>
      </c>
      <c r="P314" s="6" t="s">
        <v>55</v>
      </c>
      <c r="Q314" s="8" t="s">
        <v>56</v>
      </c>
      <c r="R314" s="10" t="s">
        <v>2097</v>
      </c>
      <c r="S314" s="11" t="s">
        <v>2098</v>
      </c>
      <c r="T314" s="6"/>
      <c r="U314" s="28" t="str">
        <f>HYPERLINK("https://media.infra-m.ru/1869/1869609/cover/1869609.jpg", "Обложка")</f>
        <v>Обложка</v>
      </c>
      <c r="V314" s="28" t="str">
        <f>HYPERLINK("https://znanium.ru/catalog/product/1869609", "Ознакомиться")</f>
        <v>Ознакомиться</v>
      </c>
      <c r="W314" s="8" t="s">
        <v>1085</v>
      </c>
      <c r="X314" s="6"/>
      <c r="Y314" s="6"/>
      <c r="Z314" s="6"/>
      <c r="AA314" s="6" t="s">
        <v>381</v>
      </c>
    </row>
    <row r="315" spans="1:27" s="4" customFormat="1" ht="42" customHeight="1">
      <c r="A315" s="5">
        <v>0</v>
      </c>
      <c r="B315" s="6" t="s">
        <v>2099</v>
      </c>
      <c r="C315" s="7">
        <v>1060</v>
      </c>
      <c r="D315" s="8" t="s">
        <v>2100</v>
      </c>
      <c r="E315" s="8" t="s">
        <v>2101</v>
      </c>
      <c r="F315" s="8" t="s">
        <v>897</v>
      </c>
      <c r="G315" s="6" t="s">
        <v>83</v>
      </c>
      <c r="H315" s="6" t="s">
        <v>38</v>
      </c>
      <c r="I315" s="8" t="s">
        <v>155</v>
      </c>
      <c r="J315" s="9">
        <v>1</v>
      </c>
      <c r="K315" s="9">
        <v>206</v>
      </c>
      <c r="L315" s="9">
        <v>2024</v>
      </c>
      <c r="M315" s="8" t="s">
        <v>2102</v>
      </c>
      <c r="N315" s="8" t="s">
        <v>74</v>
      </c>
      <c r="O315" s="8" t="s">
        <v>394</v>
      </c>
      <c r="P315" s="6" t="s">
        <v>176</v>
      </c>
      <c r="Q315" s="8" t="s">
        <v>56</v>
      </c>
      <c r="R315" s="10" t="s">
        <v>1062</v>
      </c>
      <c r="S315" s="11"/>
      <c r="T315" s="6"/>
      <c r="U315" s="28" t="str">
        <f>HYPERLINK("https://media.infra-m.ru/2147/2147918/cover/2147918.jpg", "Обложка")</f>
        <v>Обложка</v>
      </c>
      <c r="V315" s="28" t="str">
        <f>HYPERLINK("https://znanium.ru/catalog/product/2147918", "Ознакомиться")</f>
        <v>Ознакомиться</v>
      </c>
      <c r="W315" s="8" t="s">
        <v>900</v>
      </c>
      <c r="X315" s="6"/>
      <c r="Y315" s="6"/>
      <c r="Z315" s="6"/>
      <c r="AA315" s="6" t="s">
        <v>180</v>
      </c>
    </row>
    <row r="316" spans="1:27" s="4" customFormat="1" ht="51.95" customHeight="1">
      <c r="A316" s="5">
        <v>0</v>
      </c>
      <c r="B316" s="6" t="s">
        <v>2103</v>
      </c>
      <c r="C316" s="7">
        <v>1724</v>
      </c>
      <c r="D316" s="8" t="s">
        <v>2104</v>
      </c>
      <c r="E316" s="8" t="s">
        <v>2105</v>
      </c>
      <c r="F316" s="8" t="s">
        <v>2106</v>
      </c>
      <c r="G316" s="6" t="s">
        <v>83</v>
      </c>
      <c r="H316" s="6" t="s">
        <v>38</v>
      </c>
      <c r="I316" s="8" t="s">
        <v>205</v>
      </c>
      <c r="J316" s="9">
        <v>1</v>
      </c>
      <c r="K316" s="9">
        <v>367</v>
      </c>
      <c r="L316" s="9">
        <v>2024</v>
      </c>
      <c r="M316" s="8" t="s">
        <v>2107</v>
      </c>
      <c r="N316" s="8" t="s">
        <v>74</v>
      </c>
      <c r="O316" s="8" t="s">
        <v>394</v>
      </c>
      <c r="P316" s="6" t="s">
        <v>55</v>
      </c>
      <c r="Q316" s="8" t="s">
        <v>207</v>
      </c>
      <c r="R316" s="10" t="s">
        <v>2108</v>
      </c>
      <c r="S316" s="11" t="s">
        <v>2109</v>
      </c>
      <c r="T316" s="6"/>
      <c r="U316" s="28" t="str">
        <f>HYPERLINK("https://media.infra-m.ru/2136/2136875/cover/2136875.jpg", "Обложка")</f>
        <v>Обложка</v>
      </c>
      <c r="V316" s="28" t="str">
        <f>HYPERLINK("https://znanium.ru/catalog/product/1930719", "Ознакомиться")</f>
        <v>Ознакомиться</v>
      </c>
      <c r="W316" s="8" t="s">
        <v>2110</v>
      </c>
      <c r="X316" s="6"/>
      <c r="Y316" s="6"/>
      <c r="Z316" s="6"/>
      <c r="AA316" s="6" t="s">
        <v>2111</v>
      </c>
    </row>
    <row r="317" spans="1:27" s="4" customFormat="1" ht="42" customHeight="1">
      <c r="A317" s="5">
        <v>0</v>
      </c>
      <c r="B317" s="6" t="s">
        <v>2112</v>
      </c>
      <c r="C317" s="13">
        <v>398</v>
      </c>
      <c r="D317" s="8" t="s">
        <v>2113</v>
      </c>
      <c r="E317" s="8" t="s">
        <v>2114</v>
      </c>
      <c r="F317" s="8" t="s">
        <v>2115</v>
      </c>
      <c r="G317" s="6" t="s">
        <v>37</v>
      </c>
      <c r="H317" s="6" t="s">
        <v>317</v>
      </c>
      <c r="I317" s="8"/>
      <c r="J317" s="9">
        <v>1</v>
      </c>
      <c r="K317" s="9">
        <v>125</v>
      </c>
      <c r="L317" s="9">
        <v>2024</v>
      </c>
      <c r="M317" s="8" t="s">
        <v>2116</v>
      </c>
      <c r="N317" s="8" t="s">
        <v>41</v>
      </c>
      <c r="O317" s="8" t="s">
        <v>42</v>
      </c>
      <c r="P317" s="6" t="s">
        <v>55</v>
      </c>
      <c r="Q317" s="8" t="s">
        <v>56</v>
      </c>
      <c r="R317" s="10" t="s">
        <v>2117</v>
      </c>
      <c r="S317" s="11"/>
      <c r="T317" s="6"/>
      <c r="U317" s="28" t="str">
        <f>HYPERLINK("https://media.infra-m.ru/2112/2112512/cover/2112512.jpg", "Обложка")</f>
        <v>Обложка</v>
      </c>
      <c r="V317" s="12"/>
      <c r="W317" s="8"/>
      <c r="X317" s="6"/>
      <c r="Y317" s="6"/>
      <c r="Z317" s="6"/>
      <c r="AA317" s="6" t="s">
        <v>826</v>
      </c>
    </row>
    <row r="318" spans="1:27" s="4" customFormat="1" ht="51.95" customHeight="1">
      <c r="A318" s="5">
        <v>0</v>
      </c>
      <c r="B318" s="6" t="s">
        <v>2118</v>
      </c>
      <c r="C318" s="13">
        <v>814.9</v>
      </c>
      <c r="D318" s="8" t="s">
        <v>2119</v>
      </c>
      <c r="E318" s="8" t="s">
        <v>2120</v>
      </c>
      <c r="F318" s="8" t="s">
        <v>1142</v>
      </c>
      <c r="G318" s="6" t="s">
        <v>123</v>
      </c>
      <c r="H318" s="6" t="s">
        <v>38</v>
      </c>
      <c r="I318" s="8" t="s">
        <v>2121</v>
      </c>
      <c r="J318" s="9">
        <v>1</v>
      </c>
      <c r="K318" s="9">
        <v>175</v>
      </c>
      <c r="L318" s="9">
        <v>2023</v>
      </c>
      <c r="M318" s="8" t="s">
        <v>2122</v>
      </c>
      <c r="N318" s="8" t="s">
        <v>74</v>
      </c>
      <c r="O318" s="8" t="s">
        <v>93</v>
      </c>
      <c r="P318" s="6" t="s">
        <v>55</v>
      </c>
      <c r="Q318" s="8" t="s">
        <v>56</v>
      </c>
      <c r="R318" s="10" t="s">
        <v>2123</v>
      </c>
      <c r="S318" s="11" t="s">
        <v>2124</v>
      </c>
      <c r="T318" s="6"/>
      <c r="U318" s="28" t="str">
        <f>HYPERLINK("https://media.infra-m.ru/1959/1959263/cover/1959263.jpg", "Обложка")</f>
        <v>Обложка</v>
      </c>
      <c r="V318" s="28" t="str">
        <f>HYPERLINK("https://znanium.ru/catalog/product/1844372", "Ознакомиться")</f>
        <v>Ознакомиться</v>
      </c>
      <c r="W318" s="8" t="s">
        <v>1144</v>
      </c>
      <c r="X318" s="6"/>
      <c r="Y318" s="6"/>
      <c r="Z318" s="6"/>
      <c r="AA318" s="6" t="s">
        <v>141</v>
      </c>
    </row>
    <row r="319" spans="1:27" s="4" customFormat="1" ht="51.95" customHeight="1">
      <c r="A319" s="5">
        <v>0</v>
      </c>
      <c r="B319" s="6" t="s">
        <v>2125</v>
      </c>
      <c r="C319" s="7">
        <v>1550</v>
      </c>
      <c r="D319" s="8" t="s">
        <v>2126</v>
      </c>
      <c r="E319" s="8" t="s">
        <v>2127</v>
      </c>
      <c r="F319" s="8" t="s">
        <v>2128</v>
      </c>
      <c r="G319" s="6" t="s">
        <v>123</v>
      </c>
      <c r="H319" s="6" t="s">
        <v>38</v>
      </c>
      <c r="I319" s="8" t="s">
        <v>164</v>
      </c>
      <c r="J319" s="9">
        <v>1</v>
      </c>
      <c r="K319" s="9">
        <v>394</v>
      </c>
      <c r="L319" s="9">
        <v>2022</v>
      </c>
      <c r="M319" s="8" t="s">
        <v>2129</v>
      </c>
      <c r="N319" s="8" t="s">
        <v>41</v>
      </c>
      <c r="O319" s="8" t="s">
        <v>65</v>
      </c>
      <c r="P319" s="6" t="s">
        <v>176</v>
      </c>
      <c r="Q319" s="8" t="s">
        <v>56</v>
      </c>
      <c r="R319" s="10" t="s">
        <v>2130</v>
      </c>
      <c r="S319" s="11" t="s">
        <v>2131</v>
      </c>
      <c r="T319" s="6"/>
      <c r="U319" s="28" t="str">
        <f>HYPERLINK("https://media.infra-m.ru/1023/1023713/cover/1023713.jpg", "Обложка")</f>
        <v>Обложка</v>
      </c>
      <c r="V319" s="28" t="str">
        <f>HYPERLINK("https://znanium.ru/catalog/product/1023713", "Ознакомиться")</f>
        <v>Ознакомиться</v>
      </c>
      <c r="W319" s="8" t="s">
        <v>409</v>
      </c>
      <c r="X319" s="6"/>
      <c r="Y319" s="6"/>
      <c r="Z319" s="6"/>
      <c r="AA319" s="6" t="s">
        <v>103</v>
      </c>
    </row>
    <row r="320" spans="1:27" s="4" customFormat="1" ht="42" customHeight="1">
      <c r="A320" s="5">
        <v>0</v>
      </c>
      <c r="B320" s="6" t="s">
        <v>2132</v>
      </c>
      <c r="C320" s="7">
        <v>1130</v>
      </c>
      <c r="D320" s="8" t="s">
        <v>2133</v>
      </c>
      <c r="E320" s="8" t="s">
        <v>2134</v>
      </c>
      <c r="F320" s="8" t="s">
        <v>2135</v>
      </c>
      <c r="G320" s="6" t="s">
        <v>83</v>
      </c>
      <c r="H320" s="6" t="s">
        <v>618</v>
      </c>
      <c r="I320" s="8"/>
      <c r="J320" s="9">
        <v>1</v>
      </c>
      <c r="K320" s="9">
        <v>296</v>
      </c>
      <c r="L320" s="9">
        <v>2022</v>
      </c>
      <c r="M320" s="8" t="s">
        <v>2136</v>
      </c>
      <c r="N320" s="8" t="s">
        <v>41</v>
      </c>
      <c r="O320" s="8" t="s">
        <v>1299</v>
      </c>
      <c r="P320" s="6" t="s">
        <v>176</v>
      </c>
      <c r="Q320" s="8" t="s">
        <v>485</v>
      </c>
      <c r="R320" s="10" t="s">
        <v>2137</v>
      </c>
      <c r="S320" s="11"/>
      <c r="T320" s="6"/>
      <c r="U320" s="28" t="str">
        <f>HYPERLINK("https://media.infra-m.ru/1831/1831183/cover/1831183.jpg", "Обложка")</f>
        <v>Обложка</v>
      </c>
      <c r="V320" s="28" t="str">
        <f>HYPERLINK("https://znanium.ru/catalog/product/2083879", "Ознакомиться")</f>
        <v>Ознакомиться</v>
      </c>
      <c r="W320" s="8" t="s">
        <v>1334</v>
      </c>
      <c r="X320" s="6"/>
      <c r="Y320" s="6"/>
      <c r="Z320" s="6"/>
      <c r="AA320" s="6" t="s">
        <v>141</v>
      </c>
    </row>
    <row r="321" spans="1:27" s="4" customFormat="1" ht="51.95" customHeight="1">
      <c r="A321" s="5">
        <v>0</v>
      </c>
      <c r="B321" s="6" t="s">
        <v>2138</v>
      </c>
      <c r="C321" s="13">
        <v>924</v>
      </c>
      <c r="D321" s="8" t="s">
        <v>2139</v>
      </c>
      <c r="E321" s="8" t="s">
        <v>2134</v>
      </c>
      <c r="F321" s="8" t="s">
        <v>2140</v>
      </c>
      <c r="G321" s="6" t="s">
        <v>37</v>
      </c>
      <c r="H321" s="6" t="s">
        <v>317</v>
      </c>
      <c r="I321" s="8" t="s">
        <v>492</v>
      </c>
      <c r="J321" s="9">
        <v>1</v>
      </c>
      <c r="K321" s="9">
        <v>206</v>
      </c>
      <c r="L321" s="9">
        <v>2023</v>
      </c>
      <c r="M321" s="8" t="s">
        <v>2141</v>
      </c>
      <c r="N321" s="8" t="s">
        <v>74</v>
      </c>
      <c r="O321" s="8" t="s">
        <v>93</v>
      </c>
      <c r="P321" s="6" t="s">
        <v>55</v>
      </c>
      <c r="Q321" s="8" t="s">
        <v>594</v>
      </c>
      <c r="R321" s="10" t="s">
        <v>2142</v>
      </c>
      <c r="S321" s="11" t="s">
        <v>2143</v>
      </c>
      <c r="T321" s="6"/>
      <c r="U321" s="28" t="str">
        <f>HYPERLINK("https://media.infra-m.ru/2002/2002587/cover/2002587.jpg", "Обложка")</f>
        <v>Обложка</v>
      </c>
      <c r="V321" s="28" t="str">
        <f>HYPERLINK("https://znanium.ru/catalog/product/1008977", "Ознакомиться")</f>
        <v>Ознакомиться</v>
      </c>
      <c r="W321" s="8" t="s">
        <v>2144</v>
      </c>
      <c r="X321" s="6"/>
      <c r="Y321" s="6"/>
      <c r="Z321" s="6"/>
      <c r="AA321" s="6" t="s">
        <v>650</v>
      </c>
    </row>
    <row r="322" spans="1:27" s="4" customFormat="1" ht="51.95" customHeight="1">
      <c r="A322" s="5">
        <v>0</v>
      </c>
      <c r="B322" s="6" t="s">
        <v>2145</v>
      </c>
      <c r="C322" s="7">
        <v>1490</v>
      </c>
      <c r="D322" s="8" t="s">
        <v>2146</v>
      </c>
      <c r="E322" s="8" t="s">
        <v>2134</v>
      </c>
      <c r="F322" s="8" t="s">
        <v>2147</v>
      </c>
      <c r="G322" s="6" t="s">
        <v>123</v>
      </c>
      <c r="H322" s="6" t="s">
        <v>38</v>
      </c>
      <c r="I322" s="8" t="s">
        <v>2148</v>
      </c>
      <c r="J322" s="9">
        <v>1</v>
      </c>
      <c r="K322" s="9">
        <v>301</v>
      </c>
      <c r="L322" s="9">
        <v>2024</v>
      </c>
      <c r="M322" s="8" t="s">
        <v>2149</v>
      </c>
      <c r="N322" s="8" t="s">
        <v>74</v>
      </c>
      <c r="O322" s="8" t="s">
        <v>93</v>
      </c>
      <c r="P322" s="6" t="s">
        <v>55</v>
      </c>
      <c r="Q322" s="8" t="s">
        <v>485</v>
      </c>
      <c r="R322" s="10" t="s">
        <v>2150</v>
      </c>
      <c r="S322" s="11"/>
      <c r="T322" s="6"/>
      <c r="U322" s="28" t="str">
        <f>HYPERLINK("https://media.infra-m.ru/1899/1899107/cover/1899107.jpg", "Обложка")</f>
        <v>Обложка</v>
      </c>
      <c r="V322" s="28" t="str">
        <f>HYPERLINK("https://znanium.ru/catalog/product/1899107", "Ознакомиться")</f>
        <v>Ознакомиться</v>
      </c>
      <c r="W322" s="8" t="s">
        <v>998</v>
      </c>
      <c r="X322" s="6" t="s">
        <v>1242</v>
      </c>
      <c r="Y322" s="6"/>
      <c r="Z322" s="6"/>
      <c r="AA322" s="6" t="s">
        <v>180</v>
      </c>
    </row>
    <row r="323" spans="1:27" s="4" customFormat="1" ht="42" customHeight="1">
      <c r="A323" s="5">
        <v>0</v>
      </c>
      <c r="B323" s="6" t="s">
        <v>2151</v>
      </c>
      <c r="C323" s="7">
        <v>1174</v>
      </c>
      <c r="D323" s="8" t="s">
        <v>2152</v>
      </c>
      <c r="E323" s="8" t="s">
        <v>2134</v>
      </c>
      <c r="F323" s="8" t="s">
        <v>2153</v>
      </c>
      <c r="G323" s="6" t="s">
        <v>123</v>
      </c>
      <c r="H323" s="6" t="s">
        <v>317</v>
      </c>
      <c r="I323" s="8" t="s">
        <v>164</v>
      </c>
      <c r="J323" s="9">
        <v>1</v>
      </c>
      <c r="K323" s="9">
        <v>256</v>
      </c>
      <c r="L323" s="9">
        <v>2024</v>
      </c>
      <c r="M323" s="8" t="s">
        <v>2154</v>
      </c>
      <c r="N323" s="8" t="s">
        <v>74</v>
      </c>
      <c r="O323" s="8" t="s">
        <v>93</v>
      </c>
      <c r="P323" s="6" t="s">
        <v>55</v>
      </c>
      <c r="Q323" s="8" t="s">
        <v>56</v>
      </c>
      <c r="R323" s="10" t="s">
        <v>2155</v>
      </c>
      <c r="S323" s="11"/>
      <c r="T323" s="6"/>
      <c r="U323" s="28" t="str">
        <f>HYPERLINK("https://media.infra-m.ru/1920/1920345/cover/1920345.jpg", "Обложка")</f>
        <v>Обложка</v>
      </c>
      <c r="V323" s="12"/>
      <c r="W323" s="8" t="s">
        <v>2156</v>
      </c>
      <c r="X323" s="6"/>
      <c r="Y323" s="6"/>
      <c r="Z323" s="6"/>
      <c r="AA323" s="6" t="s">
        <v>59</v>
      </c>
    </row>
    <row r="324" spans="1:27" s="4" customFormat="1" ht="42" customHeight="1">
      <c r="A324" s="5">
        <v>0</v>
      </c>
      <c r="B324" s="6" t="s">
        <v>2157</v>
      </c>
      <c r="C324" s="13">
        <v>684</v>
      </c>
      <c r="D324" s="8" t="s">
        <v>2158</v>
      </c>
      <c r="E324" s="8" t="s">
        <v>2134</v>
      </c>
      <c r="F324" s="8" t="s">
        <v>1074</v>
      </c>
      <c r="G324" s="6" t="s">
        <v>37</v>
      </c>
      <c r="H324" s="6" t="s">
        <v>317</v>
      </c>
      <c r="I324" s="8" t="s">
        <v>492</v>
      </c>
      <c r="J324" s="9">
        <v>1</v>
      </c>
      <c r="K324" s="9">
        <v>148</v>
      </c>
      <c r="L324" s="9">
        <v>2024</v>
      </c>
      <c r="M324" s="8" t="s">
        <v>2159</v>
      </c>
      <c r="N324" s="8" t="s">
        <v>74</v>
      </c>
      <c r="O324" s="8" t="s">
        <v>93</v>
      </c>
      <c r="P324" s="6" t="s">
        <v>55</v>
      </c>
      <c r="Q324" s="8" t="s">
        <v>56</v>
      </c>
      <c r="R324" s="10" t="s">
        <v>1648</v>
      </c>
      <c r="S324" s="11"/>
      <c r="T324" s="6"/>
      <c r="U324" s="28" t="str">
        <f>HYPERLINK("https://media.infra-m.ru/2087/2087262/cover/2087262.jpg", "Обложка")</f>
        <v>Обложка</v>
      </c>
      <c r="V324" s="28" t="str">
        <f>HYPERLINK("https://znanium.ru/catalog/product/1843571", "Ознакомиться")</f>
        <v>Ознакомиться</v>
      </c>
      <c r="W324" s="8" t="s">
        <v>1077</v>
      </c>
      <c r="X324" s="6"/>
      <c r="Y324" s="6"/>
      <c r="Z324" s="6"/>
      <c r="AA324" s="6" t="s">
        <v>364</v>
      </c>
    </row>
    <row r="325" spans="1:27" s="4" customFormat="1" ht="51.95" customHeight="1">
      <c r="A325" s="5">
        <v>0</v>
      </c>
      <c r="B325" s="6" t="s">
        <v>2160</v>
      </c>
      <c r="C325" s="13">
        <v>654</v>
      </c>
      <c r="D325" s="8" t="s">
        <v>2161</v>
      </c>
      <c r="E325" s="8" t="s">
        <v>2134</v>
      </c>
      <c r="F325" s="8" t="s">
        <v>2162</v>
      </c>
      <c r="G325" s="6" t="s">
        <v>37</v>
      </c>
      <c r="H325" s="6" t="s">
        <v>317</v>
      </c>
      <c r="I325" s="8" t="s">
        <v>492</v>
      </c>
      <c r="J325" s="9">
        <v>1</v>
      </c>
      <c r="K325" s="9">
        <v>141</v>
      </c>
      <c r="L325" s="9">
        <v>2024</v>
      </c>
      <c r="M325" s="8" t="s">
        <v>2163</v>
      </c>
      <c r="N325" s="8" t="s">
        <v>41</v>
      </c>
      <c r="O325" s="8" t="s">
        <v>42</v>
      </c>
      <c r="P325" s="6" t="s">
        <v>55</v>
      </c>
      <c r="Q325" s="8" t="s">
        <v>485</v>
      </c>
      <c r="R325" s="10" t="s">
        <v>2164</v>
      </c>
      <c r="S325" s="11"/>
      <c r="T325" s="6"/>
      <c r="U325" s="28" t="str">
        <f>HYPERLINK("https://media.infra-m.ru/2086/2086780/cover/2086780.jpg", "Обложка")</f>
        <v>Обложка</v>
      </c>
      <c r="V325" s="28" t="str">
        <f>HYPERLINK("https://znanium.ru/catalog/product/1834706", "Ознакомиться")</f>
        <v>Ознакомиться</v>
      </c>
      <c r="W325" s="8" t="s">
        <v>2165</v>
      </c>
      <c r="X325" s="6"/>
      <c r="Y325" s="6"/>
      <c r="Z325" s="6"/>
      <c r="AA325" s="6" t="s">
        <v>826</v>
      </c>
    </row>
    <row r="326" spans="1:27" s="4" customFormat="1" ht="51.95" customHeight="1">
      <c r="A326" s="5">
        <v>0</v>
      </c>
      <c r="B326" s="6" t="s">
        <v>2166</v>
      </c>
      <c r="C326" s="7">
        <v>1490</v>
      </c>
      <c r="D326" s="8" t="s">
        <v>2167</v>
      </c>
      <c r="E326" s="8" t="s">
        <v>2168</v>
      </c>
      <c r="F326" s="8" t="s">
        <v>2169</v>
      </c>
      <c r="G326" s="6" t="s">
        <v>83</v>
      </c>
      <c r="H326" s="6" t="s">
        <v>470</v>
      </c>
      <c r="I326" s="8" t="s">
        <v>2170</v>
      </c>
      <c r="J326" s="9">
        <v>1</v>
      </c>
      <c r="K326" s="9">
        <v>323</v>
      </c>
      <c r="L326" s="9">
        <v>2024</v>
      </c>
      <c r="M326" s="8" t="s">
        <v>2171</v>
      </c>
      <c r="N326" s="8" t="s">
        <v>74</v>
      </c>
      <c r="O326" s="8" t="s">
        <v>93</v>
      </c>
      <c r="P326" s="6" t="s">
        <v>55</v>
      </c>
      <c r="Q326" s="8" t="s">
        <v>594</v>
      </c>
      <c r="R326" s="10" t="s">
        <v>2172</v>
      </c>
      <c r="S326" s="11"/>
      <c r="T326" s="6"/>
      <c r="U326" s="28" t="str">
        <f>HYPERLINK("https://media.infra-m.ru/2091/2091930/cover/2091930.jpg", "Обложка")</f>
        <v>Обложка</v>
      </c>
      <c r="V326" s="28" t="str">
        <f>HYPERLINK("https://znanium.ru/catalog/product/2091930", "Ознакомиться")</f>
        <v>Ознакомиться</v>
      </c>
      <c r="W326" s="8" t="s">
        <v>140</v>
      </c>
      <c r="X326" s="6"/>
      <c r="Y326" s="6"/>
      <c r="Z326" s="6"/>
      <c r="AA326" s="6" t="s">
        <v>1772</v>
      </c>
    </row>
    <row r="327" spans="1:27" s="4" customFormat="1" ht="51.95" customHeight="1">
      <c r="A327" s="5">
        <v>0</v>
      </c>
      <c r="B327" s="6" t="s">
        <v>2173</v>
      </c>
      <c r="C327" s="13">
        <v>844</v>
      </c>
      <c r="D327" s="8" t="s">
        <v>2174</v>
      </c>
      <c r="E327" s="8" t="s">
        <v>2175</v>
      </c>
      <c r="F327" s="8" t="s">
        <v>2176</v>
      </c>
      <c r="G327" s="6" t="s">
        <v>37</v>
      </c>
      <c r="H327" s="6" t="s">
        <v>38</v>
      </c>
      <c r="I327" s="8" t="s">
        <v>39</v>
      </c>
      <c r="J327" s="9">
        <v>1</v>
      </c>
      <c r="K327" s="9">
        <v>176</v>
      </c>
      <c r="L327" s="9">
        <v>2024</v>
      </c>
      <c r="M327" s="8" t="s">
        <v>2177</v>
      </c>
      <c r="N327" s="8" t="s">
        <v>74</v>
      </c>
      <c r="O327" s="8" t="s">
        <v>1559</v>
      </c>
      <c r="P327" s="6" t="s">
        <v>43</v>
      </c>
      <c r="Q327" s="8" t="s">
        <v>44</v>
      </c>
      <c r="R327" s="10" t="s">
        <v>2178</v>
      </c>
      <c r="S327" s="11"/>
      <c r="T327" s="6"/>
      <c r="U327" s="28" t="str">
        <f>HYPERLINK("https://media.infra-m.ru/2108/2108472/cover/2108472.jpg", "Обложка")</f>
        <v>Обложка</v>
      </c>
      <c r="V327" s="28" t="str">
        <f>HYPERLINK("https://znanium.ru/catalog/product/1867637", "Ознакомиться")</f>
        <v>Ознакомиться</v>
      </c>
      <c r="W327" s="8" t="s">
        <v>441</v>
      </c>
      <c r="X327" s="6"/>
      <c r="Y327" s="6"/>
      <c r="Z327" s="6"/>
      <c r="AA327" s="6" t="s">
        <v>103</v>
      </c>
    </row>
    <row r="328" spans="1:27" s="4" customFormat="1" ht="42" customHeight="1">
      <c r="A328" s="5">
        <v>0</v>
      </c>
      <c r="B328" s="6" t="s">
        <v>2179</v>
      </c>
      <c r="C328" s="7">
        <v>1100</v>
      </c>
      <c r="D328" s="8" t="s">
        <v>2180</v>
      </c>
      <c r="E328" s="8" t="s">
        <v>2181</v>
      </c>
      <c r="F328" s="8" t="s">
        <v>2182</v>
      </c>
      <c r="G328" s="6" t="s">
        <v>123</v>
      </c>
      <c r="H328" s="6" t="s">
        <v>38</v>
      </c>
      <c r="I328" s="8" t="s">
        <v>205</v>
      </c>
      <c r="J328" s="9">
        <v>1</v>
      </c>
      <c r="K328" s="9">
        <v>217</v>
      </c>
      <c r="L328" s="9">
        <v>2024</v>
      </c>
      <c r="M328" s="8" t="s">
        <v>2183</v>
      </c>
      <c r="N328" s="8" t="s">
        <v>74</v>
      </c>
      <c r="O328" s="8" t="s">
        <v>394</v>
      </c>
      <c r="P328" s="6" t="s">
        <v>55</v>
      </c>
      <c r="Q328" s="8" t="s">
        <v>207</v>
      </c>
      <c r="R328" s="10" t="s">
        <v>2184</v>
      </c>
      <c r="S328" s="11"/>
      <c r="T328" s="6"/>
      <c r="U328" s="28" t="str">
        <f>HYPERLINK("https://media.infra-m.ru/1184/1184663/cover/1184663.jpg", "Обложка")</f>
        <v>Обложка</v>
      </c>
      <c r="V328" s="28" t="str">
        <f>HYPERLINK("https://znanium.ru/catalog/product/1184663", "Ознакомиться")</f>
        <v>Ознакомиться</v>
      </c>
      <c r="W328" s="8" t="s">
        <v>273</v>
      </c>
      <c r="X328" s="6" t="s">
        <v>298</v>
      </c>
      <c r="Y328" s="6"/>
      <c r="Z328" s="6"/>
      <c r="AA328" s="6" t="s">
        <v>180</v>
      </c>
    </row>
    <row r="329" spans="1:27" s="4" customFormat="1" ht="42" customHeight="1">
      <c r="A329" s="5">
        <v>0</v>
      </c>
      <c r="B329" s="6" t="s">
        <v>2185</v>
      </c>
      <c r="C329" s="7">
        <v>1954</v>
      </c>
      <c r="D329" s="8" t="s">
        <v>2186</v>
      </c>
      <c r="E329" s="8" t="s">
        <v>2187</v>
      </c>
      <c r="F329" s="8" t="s">
        <v>2188</v>
      </c>
      <c r="G329" s="6" t="s">
        <v>123</v>
      </c>
      <c r="H329" s="6" t="s">
        <v>38</v>
      </c>
      <c r="I329" s="8" t="s">
        <v>164</v>
      </c>
      <c r="J329" s="9">
        <v>1</v>
      </c>
      <c r="K329" s="9">
        <v>320</v>
      </c>
      <c r="L329" s="9">
        <v>2024</v>
      </c>
      <c r="M329" s="8" t="s">
        <v>2189</v>
      </c>
      <c r="N329" s="8" t="s">
        <v>41</v>
      </c>
      <c r="O329" s="8" t="s">
        <v>54</v>
      </c>
      <c r="P329" s="6" t="s">
        <v>55</v>
      </c>
      <c r="Q329" s="8" t="s">
        <v>56</v>
      </c>
      <c r="R329" s="10" t="s">
        <v>2190</v>
      </c>
      <c r="S329" s="11"/>
      <c r="T329" s="6"/>
      <c r="U329" s="28" t="str">
        <f>HYPERLINK("https://media.infra-m.ru/2110/2110954/cover/2110954.jpg", "Обложка")</f>
        <v>Обложка</v>
      </c>
      <c r="V329" s="28" t="str">
        <f>HYPERLINK("https://znanium.ru/catalog/product/1018776", "Ознакомиться")</f>
        <v>Ознакомиться</v>
      </c>
      <c r="W329" s="8" t="s">
        <v>1093</v>
      </c>
      <c r="X329" s="6"/>
      <c r="Y329" s="6"/>
      <c r="Z329" s="6"/>
      <c r="AA329" s="6" t="s">
        <v>290</v>
      </c>
    </row>
    <row r="330" spans="1:27" s="4" customFormat="1" ht="51.95" customHeight="1">
      <c r="A330" s="5">
        <v>0</v>
      </c>
      <c r="B330" s="6" t="s">
        <v>2191</v>
      </c>
      <c r="C330" s="7">
        <v>1474</v>
      </c>
      <c r="D330" s="8" t="s">
        <v>2192</v>
      </c>
      <c r="E330" s="8" t="s">
        <v>2187</v>
      </c>
      <c r="F330" s="8" t="s">
        <v>2193</v>
      </c>
      <c r="G330" s="6" t="s">
        <v>83</v>
      </c>
      <c r="H330" s="6" t="s">
        <v>38</v>
      </c>
      <c r="I330" s="8" t="s">
        <v>205</v>
      </c>
      <c r="J330" s="9">
        <v>1</v>
      </c>
      <c r="K330" s="9">
        <v>320</v>
      </c>
      <c r="L330" s="9">
        <v>2024</v>
      </c>
      <c r="M330" s="8" t="s">
        <v>2194</v>
      </c>
      <c r="N330" s="8" t="s">
        <v>41</v>
      </c>
      <c r="O330" s="8" t="s">
        <v>54</v>
      </c>
      <c r="P330" s="6" t="s">
        <v>55</v>
      </c>
      <c r="Q330" s="8" t="s">
        <v>207</v>
      </c>
      <c r="R330" s="10" t="s">
        <v>2195</v>
      </c>
      <c r="S330" s="11" t="s">
        <v>2196</v>
      </c>
      <c r="T330" s="6"/>
      <c r="U330" s="28" t="str">
        <f>HYPERLINK("https://media.infra-m.ru/2085/2085048/cover/2085048.jpg", "Обложка")</f>
        <v>Обложка</v>
      </c>
      <c r="V330" s="28" t="str">
        <f>HYPERLINK("https://znanium.ru/catalog/product/1247040", "Ознакомиться")</f>
        <v>Ознакомиться</v>
      </c>
      <c r="W330" s="8" t="s">
        <v>1093</v>
      </c>
      <c r="X330" s="6"/>
      <c r="Y330" s="6"/>
      <c r="Z330" s="6" t="s">
        <v>235</v>
      </c>
      <c r="AA330" s="6" t="s">
        <v>78</v>
      </c>
    </row>
    <row r="331" spans="1:27" s="4" customFormat="1" ht="42" customHeight="1">
      <c r="A331" s="5">
        <v>0</v>
      </c>
      <c r="B331" s="6" t="s">
        <v>2197</v>
      </c>
      <c r="C331" s="7">
        <v>1034.9000000000001</v>
      </c>
      <c r="D331" s="8" t="s">
        <v>2198</v>
      </c>
      <c r="E331" s="8" t="s">
        <v>2199</v>
      </c>
      <c r="F331" s="8" t="s">
        <v>2200</v>
      </c>
      <c r="G331" s="6" t="s">
        <v>83</v>
      </c>
      <c r="H331" s="6" t="s">
        <v>38</v>
      </c>
      <c r="I331" s="8" t="s">
        <v>164</v>
      </c>
      <c r="J331" s="9">
        <v>1</v>
      </c>
      <c r="K331" s="9">
        <v>272</v>
      </c>
      <c r="L331" s="9">
        <v>2022</v>
      </c>
      <c r="M331" s="8" t="s">
        <v>2201</v>
      </c>
      <c r="N331" s="8" t="s">
        <v>41</v>
      </c>
      <c r="O331" s="8" t="s">
        <v>65</v>
      </c>
      <c r="P331" s="6" t="s">
        <v>55</v>
      </c>
      <c r="Q331" s="8" t="s">
        <v>56</v>
      </c>
      <c r="R331" s="10" t="s">
        <v>2202</v>
      </c>
      <c r="S331" s="11"/>
      <c r="T331" s="6"/>
      <c r="U331" s="28" t="str">
        <f>HYPERLINK("https://media.infra-m.ru/1853/1853547/cover/1853547.jpg", "Обложка")</f>
        <v>Обложка</v>
      </c>
      <c r="V331" s="28" t="str">
        <f>HYPERLINK("https://znanium.ru/catalog/product/1094313", "Ознакомиться")</f>
        <v>Ознакомиться</v>
      </c>
      <c r="W331" s="8" t="s">
        <v>409</v>
      </c>
      <c r="X331" s="6"/>
      <c r="Y331" s="6"/>
      <c r="Z331" s="6"/>
      <c r="AA331" s="6" t="s">
        <v>381</v>
      </c>
    </row>
    <row r="332" spans="1:27" s="4" customFormat="1" ht="51.95" customHeight="1">
      <c r="A332" s="5">
        <v>0</v>
      </c>
      <c r="B332" s="6" t="s">
        <v>2203</v>
      </c>
      <c r="C332" s="7">
        <v>1340</v>
      </c>
      <c r="D332" s="8" t="s">
        <v>2204</v>
      </c>
      <c r="E332" s="8" t="s">
        <v>2205</v>
      </c>
      <c r="F332" s="8" t="s">
        <v>2200</v>
      </c>
      <c r="G332" s="6" t="s">
        <v>83</v>
      </c>
      <c r="H332" s="6" t="s">
        <v>38</v>
      </c>
      <c r="I332" s="8" t="s">
        <v>164</v>
      </c>
      <c r="J332" s="9">
        <v>1</v>
      </c>
      <c r="K332" s="9">
        <v>352</v>
      </c>
      <c r="L332" s="9">
        <v>2022</v>
      </c>
      <c r="M332" s="8" t="s">
        <v>2206</v>
      </c>
      <c r="N332" s="8" t="s">
        <v>41</v>
      </c>
      <c r="O332" s="8" t="s">
        <v>65</v>
      </c>
      <c r="P332" s="6" t="s">
        <v>55</v>
      </c>
      <c r="Q332" s="8" t="s">
        <v>56</v>
      </c>
      <c r="R332" s="10" t="s">
        <v>2207</v>
      </c>
      <c r="S332" s="11" t="s">
        <v>2208</v>
      </c>
      <c r="T332" s="6"/>
      <c r="U332" s="28" t="str">
        <f>HYPERLINK("https://media.infra-m.ru/1840/1840954/cover/1840954.jpg", "Обложка")</f>
        <v>Обложка</v>
      </c>
      <c r="V332" s="28" t="str">
        <f>HYPERLINK("https://znanium.ru/catalog/product/1840954", "Ознакомиться")</f>
        <v>Ознакомиться</v>
      </c>
      <c r="W332" s="8" t="s">
        <v>409</v>
      </c>
      <c r="X332" s="6"/>
      <c r="Y332" s="6"/>
      <c r="Z332" s="6"/>
      <c r="AA332" s="6" t="s">
        <v>381</v>
      </c>
    </row>
    <row r="333" spans="1:27" s="4" customFormat="1" ht="51.95" customHeight="1">
      <c r="A333" s="5">
        <v>0</v>
      </c>
      <c r="B333" s="6" t="s">
        <v>2209</v>
      </c>
      <c r="C333" s="7">
        <v>1474.9</v>
      </c>
      <c r="D333" s="8" t="s">
        <v>2210</v>
      </c>
      <c r="E333" s="8" t="s">
        <v>2211</v>
      </c>
      <c r="F333" s="8" t="s">
        <v>2212</v>
      </c>
      <c r="G333" s="6" t="s">
        <v>83</v>
      </c>
      <c r="H333" s="6" t="s">
        <v>317</v>
      </c>
      <c r="I333" s="8" t="s">
        <v>155</v>
      </c>
      <c r="J333" s="9">
        <v>1</v>
      </c>
      <c r="K333" s="9">
        <v>320</v>
      </c>
      <c r="L333" s="9">
        <v>2023</v>
      </c>
      <c r="M333" s="8" t="s">
        <v>2213</v>
      </c>
      <c r="N333" s="8" t="s">
        <v>41</v>
      </c>
      <c r="O333" s="8" t="s">
        <v>54</v>
      </c>
      <c r="P333" s="6" t="s">
        <v>55</v>
      </c>
      <c r="Q333" s="8" t="s">
        <v>56</v>
      </c>
      <c r="R333" s="10" t="s">
        <v>2214</v>
      </c>
      <c r="S333" s="11" t="s">
        <v>2215</v>
      </c>
      <c r="T333" s="6"/>
      <c r="U333" s="28" t="str">
        <f>HYPERLINK("https://media.infra-m.ru/2109/2109593/cover/2109593.jpg", "Обложка")</f>
        <v>Обложка</v>
      </c>
      <c r="V333" s="28" t="str">
        <f>HYPERLINK("https://znanium.ru/catalog/product/2017313", "Ознакомиться")</f>
        <v>Ознакомиться</v>
      </c>
      <c r="W333" s="8" t="s">
        <v>1841</v>
      </c>
      <c r="X333" s="6"/>
      <c r="Y333" s="6"/>
      <c r="Z333" s="6"/>
      <c r="AA333" s="6" t="s">
        <v>2216</v>
      </c>
    </row>
    <row r="334" spans="1:27" s="4" customFormat="1" ht="44.1" customHeight="1">
      <c r="A334" s="5">
        <v>0</v>
      </c>
      <c r="B334" s="6" t="s">
        <v>2217</v>
      </c>
      <c r="C334" s="7">
        <v>1440</v>
      </c>
      <c r="D334" s="8" t="s">
        <v>2218</v>
      </c>
      <c r="E334" s="8" t="s">
        <v>2219</v>
      </c>
      <c r="F334" s="8" t="s">
        <v>2212</v>
      </c>
      <c r="G334" s="6" t="s">
        <v>83</v>
      </c>
      <c r="H334" s="6" t="s">
        <v>317</v>
      </c>
      <c r="I334" s="8" t="s">
        <v>492</v>
      </c>
      <c r="J334" s="9">
        <v>1</v>
      </c>
      <c r="K334" s="9">
        <v>320</v>
      </c>
      <c r="L334" s="9">
        <v>2023</v>
      </c>
      <c r="M334" s="8" t="s">
        <v>2220</v>
      </c>
      <c r="N334" s="8" t="s">
        <v>41</v>
      </c>
      <c r="O334" s="8" t="s">
        <v>54</v>
      </c>
      <c r="P334" s="6" t="s">
        <v>55</v>
      </c>
      <c r="Q334" s="8" t="s">
        <v>207</v>
      </c>
      <c r="R334" s="10" t="s">
        <v>2221</v>
      </c>
      <c r="S334" s="11"/>
      <c r="T334" s="6"/>
      <c r="U334" s="28" t="str">
        <f>HYPERLINK("https://media.infra-m.ru/1891/1891929/cover/1891929.jpg", "Обложка")</f>
        <v>Обложка</v>
      </c>
      <c r="V334" s="12"/>
      <c r="W334" s="8" t="s">
        <v>1841</v>
      </c>
      <c r="X334" s="6"/>
      <c r="Y334" s="6"/>
      <c r="Z334" s="6"/>
      <c r="AA334" s="6" t="s">
        <v>78</v>
      </c>
    </row>
    <row r="335" spans="1:27" s="4" customFormat="1" ht="42" customHeight="1">
      <c r="A335" s="5">
        <v>0</v>
      </c>
      <c r="B335" s="6" t="s">
        <v>2222</v>
      </c>
      <c r="C335" s="7">
        <v>1300</v>
      </c>
      <c r="D335" s="8" t="s">
        <v>2223</v>
      </c>
      <c r="E335" s="8" t="s">
        <v>2224</v>
      </c>
      <c r="F335" s="8" t="s">
        <v>1032</v>
      </c>
      <c r="G335" s="6" t="s">
        <v>123</v>
      </c>
      <c r="H335" s="6" t="s">
        <v>38</v>
      </c>
      <c r="I335" s="8" t="s">
        <v>155</v>
      </c>
      <c r="J335" s="9">
        <v>1</v>
      </c>
      <c r="K335" s="9">
        <v>263</v>
      </c>
      <c r="L335" s="9">
        <v>2024</v>
      </c>
      <c r="M335" s="8" t="s">
        <v>2225</v>
      </c>
      <c r="N335" s="8" t="s">
        <v>74</v>
      </c>
      <c r="O335" s="8" t="s">
        <v>75</v>
      </c>
      <c r="P335" s="6" t="s">
        <v>55</v>
      </c>
      <c r="Q335" s="8" t="s">
        <v>56</v>
      </c>
      <c r="R335" s="10" t="s">
        <v>2097</v>
      </c>
      <c r="S335" s="11"/>
      <c r="T335" s="6"/>
      <c r="U335" s="28" t="str">
        <f>HYPERLINK("https://media.infra-m.ru/1898/1898403/cover/1898403.jpg", "Обложка")</f>
        <v>Обложка</v>
      </c>
      <c r="V335" s="28" t="str">
        <f>HYPERLINK("https://znanium.ru/catalog/product/1898403", "Ознакомиться")</f>
        <v>Ознакомиться</v>
      </c>
      <c r="W335" s="8" t="s">
        <v>1035</v>
      </c>
      <c r="X335" s="6" t="s">
        <v>734</v>
      </c>
      <c r="Y335" s="6"/>
      <c r="Z335" s="6"/>
      <c r="AA335" s="6" t="s">
        <v>180</v>
      </c>
    </row>
    <row r="336" spans="1:27" s="4" customFormat="1" ht="51.95" customHeight="1">
      <c r="A336" s="5">
        <v>0</v>
      </c>
      <c r="B336" s="6" t="s">
        <v>2226</v>
      </c>
      <c r="C336" s="7">
        <v>1170</v>
      </c>
      <c r="D336" s="8" t="s">
        <v>2227</v>
      </c>
      <c r="E336" s="8" t="s">
        <v>2228</v>
      </c>
      <c r="F336" s="8" t="s">
        <v>2229</v>
      </c>
      <c r="G336" s="6" t="s">
        <v>83</v>
      </c>
      <c r="H336" s="6" t="s">
        <v>38</v>
      </c>
      <c r="I336" s="8" t="s">
        <v>155</v>
      </c>
      <c r="J336" s="9">
        <v>1</v>
      </c>
      <c r="K336" s="9">
        <v>247</v>
      </c>
      <c r="L336" s="9">
        <v>2024</v>
      </c>
      <c r="M336" s="8" t="s">
        <v>2230</v>
      </c>
      <c r="N336" s="8" t="s">
        <v>41</v>
      </c>
      <c r="O336" s="8" t="s">
        <v>65</v>
      </c>
      <c r="P336" s="6" t="s">
        <v>55</v>
      </c>
      <c r="Q336" s="8" t="s">
        <v>177</v>
      </c>
      <c r="R336" s="10" t="s">
        <v>2231</v>
      </c>
      <c r="S336" s="11" t="s">
        <v>2232</v>
      </c>
      <c r="T336" s="6"/>
      <c r="U336" s="28" t="str">
        <f>HYPERLINK("https://media.infra-m.ru/2080/2080294/cover/2080294.jpg", "Обложка")</f>
        <v>Обложка</v>
      </c>
      <c r="V336" s="28" t="str">
        <f>HYPERLINK("https://znanium.ru/catalog/product/2080294", "Ознакомиться")</f>
        <v>Ознакомиться</v>
      </c>
      <c r="W336" s="8" t="s">
        <v>2060</v>
      </c>
      <c r="X336" s="6"/>
      <c r="Y336" s="6"/>
      <c r="Z336" s="6"/>
      <c r="AA336" s="6" t="s">
        <v>141</v>
      </c>
    </row>
    <row r="337" spans="1:27" s="4" customFormat="1" ht="42" customHeight="1">
      <c r="A337" s="5">
        <v>0</v>
      </c>
      <c r="B337" s="6" t="s">
        <v>2233</v>
      </c>
      <c r="C337" s="7">
        <v>2990</v>
      </c>
      <c r="D337" s="8" t="s">
        <v>2234</v>
      </c>
      <c r="E337" s="8" t="s">
        <v>2235</v>
      </c>
      <c r="F337" s="8" t="s">
        <v>2236</v>
      </c>
      <c r="G337" s="6" t="s">
        <v>123</v>
      </c>
      <c r="H337" s="6" t="s">
        <v>38</v>
      </c>
      <c r="I337" s="8" t="s">
        <v>795</v>
      </c>
      <c r="J337" s="9">
        <v>1</v>
      </c>
      <c r="K337" s="9">
        <v>676</v>
      </c>
      <c r="L337" s="9">
        <v>2024</v>
      </c>
      <c r="M337" s="8" t="s">
        <v>2237</v>
      </c>
      <c r="N337" s="8" t="s">
        <v>41</v>
      </c>
      <c r="O337" s="8" t="s">
        <v>65</v>
      </c>
      <c r="P337" s="6" t="s">
        <v>2238</v>
      </c>
      <c r="Q337" s="8" t="s">
        <v>44</v>
      </c>
      <c r="R337" s="10" t="s">
        <v>2239</v>
      </c>
      <c r="S337" s="11"/>
      <c r="T337" s="6"/>
      <c r="U337" s="28" t="str">
        <f>HYPERLINK("https://media.infra-m.ru/0996/0996020/cover/996020.jpg", "Обложка")</f>
        <v>Обложка</v>
      </c>
      <c r="V337" s="28" t="str">
        <f>HYPERLINK("https://znanium.ru/catalog/product/996020", "Ознакомиться")</f>
        <v>Ознакомиться</v>
      </c>
      <c r="W337" s="8"/>
      <c r="X337" s="6" t="s">
        <v>1997</v>
      </c>
      <c r="Y337" s="6"/>
      <c r="Z337" s="6"/>
      <c r="AA337" s="6" t="s">
        <v>180</v>
      </c>
    </row>
    <row r="338" spans="1:27" s="4" customFormat="1" ht="51.95" customHeight="1">
      <c r="A338" s="5">
        <v>0</v>
      </c>
      <c r="B338" s="6" t="s">
        <v>2240</v>
      </c>
      <c r="C338" s="7">
        <v>2034</v>
      </c>
      <c r="D338" s="8" t="s">
        <v>2241</v>
      </c>
      <c r="E338" s="8" t="s">
        <v>2242</v>
      </c>
      <c r="F338" s="8" t="s">
        <v>2243</v>
      </c>
      <c r="G338" s="6" t="s">
        <v>123</v>
      </c>
      <c r="H338" s="6" t="s">
        <v>618</v>
      </c>
      <c r="I338" s="8"/>
      <c r="J338" s="9">
        <v>1</v>
      </c>
      <c r="K338" s="9">
        <v>432</v>
      </c>
      <c r="L338" s="9">
        <v>2024</v>
      </c>
      <c r="M338" s="8" t="s">
        <v>2244</v>
      </c>
      <c r="N338" s="8" t="s">
        <v>41</v>
      </c>
      <c r="O338" s="8" t="s">
        <v>65</v>
      </c>
      <c r="P338" s="6" t="s">
        <v>55</v>
      </c>
      <c r="Q338" s="8" t="s">
        <v>56</v>
      </c>
      <c r="R338" s="10" t="s">
        <v>2245</v>
      </c>
      <c r="S338" s="11"/>
      <c r="T338" s="6"/>
      <c r="U338" s="28" t="str">
        <f>HYPERLINK("https://media.infra-m.ru/2142/2142329/cover/2142329.jpg", "Обложка")</f>
        <v>Обложка</v>
      </c>
      <c r="V338" s="28" t="str">
        <f>HYPERLINK("https://znanium.ru/catalog/product/1407934", "Ознакомиться")</f>
        <v>Ознакомиться</v>
      </c>
      <c r="W338" s="8" t="s">
        <v>2246</v>
      </c>
      <c r="X338" s="6"/>
      <c r="Y338" s="6"/>
      <c r="Z338" s="6"/>
      <c r="AA338" s="6" t="s">
        <v>59</v>
      </c>
    </row>
    <row r="339" spans="1:27" s="4" customFormat="1" ht="44.1" customHeight="1">
      <c r="A339" s="5">
        <v>0</v>
      </c>
      <c r="B339" s="6" t="s">
        <v>2247</v>
      </c>
      <c r="C339" s="7">
        <v>1084</v>
      </c>
      <c r="D339" s="8" t="s">
        <v>2248</v>
      </c>
      <c r="E339" s="8" t="s">
        <v>2249</v>
      </c>
      <c r="F339" s="8" t="s">
        <v>2250</v>
      </c>
      <c r="G339" s="6" t="s">
        <v>123</v>
      </c>
      <c r="H339" s="6" t="s">
        <v>52</v>
      </c>
      <c r="I339" s="8"/>
      <c r="J339" s="9">
        <v>1</v>
      </c>
      <c r="K339" s="9">
        <v>240</v>
      </c>
      <c r="L339" s="9">
        <v>2023</v>
      </c>
      <c r="M339" s="8" t="s">
        <v>2251</v>
      </c>
      <c r="N339" s="8" t="s">
        <v>41</v>
      </c>
      <c r="O339" s="8" t="s">
        <v>54</v>
      </c>
      <c r="P339" s="6" t="s">
        <v>2252</v>
      </c>
      <c r="Q339" s="8" t="s">
        <v>56</v>
      </c>
      <c r="R339" s="10" t="s">
        <v>2253</v>
      </c>
      <c r="S339" s="11"/>
      <c r="T339" s="6"/>
      <c r="U339" s="28" t="str">
        <f>HYPERLINK("https://media.infra-m.ru/2008/2008761/cover/2008761.jpg", "Обложка")</f>
        <v>Обложка</v>
      </c>
      <c r="V339" s="12"/>
      <c r="W339" s="8" t="s">
        <v>2254</v>
      </c>
      <c r="X339" s="6"/>
      <c r="Y339" s="6"/>
      <c r="Z339" s="6"/>
      <c r="AA339" s="6" t="s">
        <v>96</v>
      </c>
    </row>
    <row r="340" spans="1:27" s="4" customFormat="1" ht="51.95" customHeight="1">
      <c r="A340" s="5">
        <v>0</v>
      </c>
      <c r="B340" s="6" t="s">
        <v>2255</v>
      </c>
      <c r="C340" s="7">
        <v>1720</v>
      </c>
      <c r="D340" s="8" t="s">
        <v>2256</v>
      </c>
      <c r="E340" s="8" t="s">
        <v>2257</v>
      </c>
      <c r="F340" s="8" t="s">
        <v>2258</v>
      </c>
      <c r="G340" s="6" t="s">
        <v>83</v>
      </c>
      <c r="H340" s="6" t="s">
        <v>317</v>
      </c>
      <c r="I340" s="8" t="s">
        <v>155</v>
      </c>
      <c r="J340" s="9">
        <v>1</v>
      </c>
      <c r="K340" s="9">
        <v>375</v>
      </c>
      <c r="L340" s="9">
        <v>2024</v>
      </c>
      <c r="M340" s="8" t="s">
        <v>2259</v>
      </c>
      <c r="N340" s="8" t="s">
        <v>74</v>
      </c>
      <c r="O340" s="8" t="s">
        <v>1559</v>
      </c>
      <c r="P340" s="6" t="s">
        <v>176</v>
      </c>
      <c r="Q340" s="8" t="s">
        <v>56</v>
      </c>
      <c r="R340" s="10" t="s">
        <v>2260</v>
      </c>
      <c r="S340" s="11"/>
      <c r="T340" s="6" t="s">
        <v>190</v>
      </c>
      <c r="U340" s="28" t="str">
        <f>HYPERLINK("https://media.infra-m.ru/2149/2149625/cover/2149625.jpg", "Обложка")</f>
        <v>Обложка</v>
      </c>
      <c r="V340" s="28" t="str">
        <f>HYPERLINK("https://znanium.ru/catalog/product/2149625", "Ознакомиться")</f>
        <v>Ознакомиться</v>
      </c>
      <c r="W340" s="8" t="s">
        <v>200</v>
      </c>
      <c r="X340" s="6"/>
      <c r="Y340" s="6"/>
      <c r="Z340" s="6"/>
      <c r="AA340" s="6" t="s">
        <v>364</v>
      </c>
    </row>
    <row r="341" spans="1:27" s="4" customFormat="1" ht="51.95" customHeight="1">
      <c r="A341" s="5">
        <v>0</v>
      </c>
      <c r="B341" s="6" t="s">
        <v>2261</v>
      </c>
      <c r="C341" s="7">
        <v>2200</v>
      </c>
      <c r="D341" s="8" t="s">
        <v>2262</v>
      </c>
      <c r="E341" s="8" t="s">
        <v>2263</v>
      </c>
      <c r="F341" s="8" t="s">
        <v>2264</v>
      </c>
      <c r="G341" s="6" t="s">
        <v>123</v>
      </c>
      <c r="H341" s="6" t="s">
        <v>470</v>
      </c>
      <c r="I341" s="8" t="s">
        <v>155</v>
      </c>
      <c r="J341" s="9">
        <v>1</v>
      </c>
      <c r="K341" s="9">
        <v>480</v>
      </c>
      <c r="L341" s="9">
        <v>2024</v>
      </c>
      <c r="M341" s="8" t="s">
        <v>2265</v>
      </c>
      <c r="N341" s="8" t="s">
        <v>74</v>
      </c>
      <c r="O341" s="8" t="s">
        <v>1559</v>
      </c>
      <c r="P341" s="6" t="s">
        <v>176</v>
      </c>
      <c r="Q341" s="8" t="s">
        <v>56</v>
      </c>
      <c r="R341" s="10" t="s">
        <v>2266</v>
      </c>
      <c r="S341" s="11" t="s">
        <v>2267</v>
      </c>
      <c r="T341" s="6" t="s">
        <v>190</v>
      </c>
      <c r="U341" s="28" t="str">
        <f>HYPERLINK("https://media.infra-m.ru/2106/2106651/cover/2106651.jpg", "Обложка")</f>
        <v>Обложка</v>
      </c>
      <c r="V341" s="28" t="str">
        <f>HYPERLINK("https://znanium.ru/catalog/product/2106651", "Ознакомиться")</f>
        <v>Ознакомиться</v>
      </c>
      <c r="W341" s="8" t="s">
        <v>912</v>
      </c>
      <c r="X341" s="6"/>
      <c r="Y341" s="6"/>
      <c r="Z341" s="6"/>
      <c r="AA341" s="6" t="s">
        <v>68</v>
      </c>
    </row>
    <row r="342" spans="1:27" s="4" customFormat="1" ht="51.95" customHeight="1">
      <c r="A342" s="5">
        <v>0</v>
      </c>
      <c r="B342" s="6" t="s">
        <v>2268</v>
      </c>
      <c r="C342" s="13">
        <v>794.9</v>
      </c>
      <c r="D342" s="8" t="s">
        <v>2269</v>
      </c>
      <c r="E342" s="8" t="s">
        <v>2263</v>
      </c>
      <c r="F342" s="8" t="s">
        <v>2270</v>
      </c>
      <c r="G342" s="6" t="s">
        <v>123</v>
      </c>
      <c r="H342" s="6" t="s">
        <v>317</v>
      </c>
      <c r="I342" s="8" t="s">
        <v>177</v>
      </c>
      <c r="J342" s="9">
        <v>1</v>
      </c>
      <c r="K342" s="9">
        <v>176</v>
      </c>
      <c r="L342" s="9">
        <v>2023</v>
      </c>
      <c r="M342" s="8" t="s">
        <v>2271</v>
      </c>
      <c r="N342" s="8" t="s">
        <v>74</v>
      </c>
      <c r="O342" s="8" t="s">
        <v>1559</v>
      </c>
      <c r="P342" s="6" t="s">
        <v>55</v>
      </c>
      <c r="Q342" s="8" t="s">
        <v>177</v>
      </c>
      <c r="R342" s="10" t="s">
        <v>2272</v>
      </c>
      <c r="S342" s="11" t="s">
        <v>2273</v>
      </c>
      <c r="T342" s="6"/>
      <c r="U342" s="28" t="str">
        <f>HYPERLINK("https://media.infra-m.ru/1900/1900990/cover/1900990.jpg", "Обложка")</f>
        <v>Обложка</v>
      </c>
      <c r="V342" s="28" t="str">
        <f>HYPERLINK("https://znanium.ru/catalog/product/1840499", "Ознакомиться")</f>
        <v>Ознакомиться</v>
      </c>
      <c r="W342" s="8" t="s">
        <v>2274</v>
      </c>
      <c r="X342" s="6"/>
      <c r="Y342" s="6"/>
      <c r="Z342" s="6"/>
      <c r="AA342" s="6" t="s">
        <v>96</v>
      </c>
    </row>
    <row r="343" spans="1:27" s="4" customFormat="1" ht="42" customHeight="1">
      <c r="A343" s="5">
        <v>0</v>
      </c>
      <c r="B343" s="6" t="s">
        <v>2275</v>
      </c>
      <c r="C343" s="7">
        <v>1514.9</v>
      </c>
      <c r="D343" s="8" t="s">
        <v>2276</v>
      </c>
      <c r="E343" s="8" t="s">
        <v>2277</v>
      </c>
      <c r="F343" s="8" t="s">
        <v>2278</v>
      </c>
      <c r="G343" s="6" t="s">
        <v>123</v>
      </c>
      <c r="H343" s="6" t="s">
        <v>38</v>
      </c>
      <c r="I343" s="8" t="s">
        <v>164</v>
      </c>
      <c r="J343" s="9">
        <v>1</v>
      </c>
      <c r="K343" s="9">
        <v>336</v>
      </c>
      <c r="L343" s="9">
        <v>2023</v>
      </c>
      <c r="M343" s="8" t="s">
        <v>2279</v>
      </c>
      <c r="N343" s="8" t="s">
        <v>41</v>
      </c>
      <c r="O343" s="8" t="s">
        <v>54</v>
      </c>
      <c r="P343" s="6" t="s">
        <v>55</v>
      </c>
      <c r="Q343" s="8" t="s">
        <v>56</v>
      </c>
      <c r="R343" s="10" t="s">
        <v>2083</v>
      </c>
      <c r="S343" s="11"/>
      <c r="T343" s="6"/>
      <c r="U343" s="28" t="str">
        <f>HYPERLINK("https://media.infra-m.ru/1910/1910876/cover/1910876.jpg", "Обложка")</f>
        <v>Обложка</v>
      </c>
      <c r="V343" s="28" t="str">
        <f>HYPERLINK("https://znanium.ru/catalog/product/1219370", "Ознакомиться")</f>
        <v>Ознакомиться</v>
      </c>
      <c r="W343" s="8" t="s">
        <v>2280</v>
      </c>
      <c r="X343" s="6"/>
      <c r="Y343" s="6"/>
      <c r="Z343" s="6"/>
      <c r="AA343" s="6" t="s">
        <v>381</v>
      </c>
    </row>
    <row r="344" spans="1:27" s="4" customFormat="1" ht="42" customHeight="1">
      <c r="A344" s="5">
        <v>0</v>
      </c>
      <c r="B344" s="6" t="s">
        <v>2281</v>
      </c>
      <c r="C344" s="7">
        <v>1480</v>
      </c>
      <c r="D344" s="8" t="s">
        <v>2282</v>
      </c>
      <c r="E344" s="8" t="s">
        <v>2283</v>
      </c>
      <c r="F344" s="8" t="s">
        <v>2284</v>
      </c>
      <c r="G344" s="6" t="s">
        <v>83</v>
      </c>
      <c r="H344" s="6" t="s">
        <v>317</v>
      </c>
      <c r="I344" s="8" t="s">
        <v>155</v>
      </c>
      <c r="J344" s="9">
        <v>1</v>
      </c>
      <c r="K344" s="9">
        <v>315</v>
      </c>
      <c r="L344" s="9">
        <v>2024</v>
      </c>
      <c r="M344" s="8" t="s">
        <v>2285</v>
      </c>
      <c r="N344" s="8" t="s">
        <v>41</v>
      </c>
      <c r="O344" s="8" t="s">
        <v>42</v>
      </c>
      <c r="P344" s="6" t="s">
        <v>55</v>
      </c>
      <c r="Q344" s="8" t="s">
        <v>177</v>
      </c>
      <c r="R344" s="10" t="s">
        <v>2286</v>
      </c>
      <c r="S344" s="11"/>
      <c r="T344" s="6"/>
      <c r="U344" s="28" t="str">
        <f>HYPERLINK("https://media.infra-m.ru/2136/2136000/cover/2136000.jpg", "Обложка")</f>
        <v>Обложка</v>
      </c>
      <c r="V344" s="28" t="str">
        <f>HYPERLINK("https://znanium.ru/catalog/product/2136000", "Ознакомиться")</f>
        <v>Ознакомиться</v>
      </c>
      <c r="W344" s="8" t="s">
        <v>2287</v>
      </c>
      <c r="X344" s="6"/>
      <c r="Y344" s="6"/>
      <c r="Z344" s="6"/>
      <c r="AA344" s="6" t="s">
        <v>96</v>
      </c>
    </row>
    <row r="345" spans="1:27" s="4" customFormat="1" ht="42" customHeight="1">
      <c r="A345" s="5">
        <v>0</v>
      </c>
      <c r="B345" s="6" t="s">
        <v>2288</v>
      </c>
      <c r="C345" s="7">
        <v>2300</v>
      </c>
      <c r="D345" s="8" t="s">
        <v>2289</v>
      </c>
      <c r="E345" s="8" t="s">
        <v>2290</v>
      </c>
      <c r="F345" s="8" t="s">
        <v>2291</v>
      </c>
      <c r="G345" s="6" t="s">
        <v>123</v>
      </c>
      <c r="H345" s="6" t="s">
        <v>38</v>
      </c>
      <c r="I345" s="8" t="s">
        <v>174</v>
      </c>
      <c r="J345" s="9">
        <v>1</v>
      </c>
      <c r="K345" s="9">
        <v>493</v>
      </c>
      <c r="L345" s="9">
        <v>2024</v>
      </c>
      <c r="M345" s="8" t="s">
        <v>2292</v>
      </c>
      <c r="N345" s="8" t="s">
        <v>41</v>
      </c>
      <c r="O345" s="8" t="s">
        <v>42</v>
      </c>
      <c r="P345" s="6" t="s">
        <v>55</v>
      </c>
      <c r="Q345" s="8" t="s">
        <v>56</v>
      </c>
      <c r="R345" s="10" t="s">
        <v>2293</v>
      </c>
      <c r="S345" s="11"/>
      <c r="T345" s="6"/>
      <c r="U345" s="28" t="str">
        <f>HYPERLINK("https://media.infra-m.ru/2132/2132538/cover/2132538.jpg", "Обложка")</f>
        <v>Обложка</v>
      </c>
      <c r="V345" s="28" t="str">
        <f>HYPERLINK("https://znanium.ru/catalog/product/2132538", "Ознакомиться")</f>
        <v>Ознакомиться</v>
      </c>
      <c r="W345" s="8" t="s">
        <v>1561</v>
      </c>
      <c r="X345" s="6"/>
      <c r="Y345" s="6"/>
      <c r="Z345" s="6"/>
      <c r="AA345" s="6" t="s">
        <v>180</v>
      </c>
    </row>
    <row r="346" spans="1:27" s="4" customFormat="1" ht="51.95" customHeight="1">
      <c r="A346" s="5">
        <v>0</v>
      </c>
      <c r="B346" s="6" t="s">
        <v>2294</v>
      </c>
      <c r="C346" s="7">
        <v>2984</v>
      </c>
      <c r="D346" s="8" t="s">
        <v>2295</v>
      </c>
      <c r="E346" s="8" t="s">
        <v>2296</v>
      </c>
      <c r="F346" s="8" t="s">
        <v>2297</v>
      </c>
      <c r="G346" s="6" t="s">
        <v>83</v>
      </c>
      <c r="H346" s="6" t="s">
        <v>38</v>
      </c>
      <c r="I346" s="8" t="s">
        <v>164</v>
      </c>
      <c r="J346" s="9">
        <v>1</v>
      </c>
      <c r="K346" s="9">
        <v>648</v>
      </c>
      <c r="L346" s="9">
        <v>2024</v>
      </c>
      <c r="M346" s="8" t="s">
        <v>2298</v>
      </c>
      <c r="N346" s="8" t="s">
        <v>41</v>
      </c>
      <c r="O346" s="8" t="s">
        <v>42</v>
      </c>
      <c r="P346" s="6" t="s">
        <v>176</v>
      </c>
      <c r="Q346" s="8" t="s">
        <v>56</v>
      </c>
      <c r="R346" s="10" t="s">
        <v>2299</v>
      </c>
      <c r="S346" s="11" t="s">
        <v>2300</v>
      </c>
      <c r="T346" s="6" t="s">
        <v>190</v>
      </c>
      <c r="U346" s="28" t="str">
        <f>HYPERLINK("https://media.infra-m.ru/2093/2093941/cover/2093941.jpg", "Обложка")</f>
        <v>Обложка</v>
      </c>
      <c r="V346" s="28" t="str">
        <f>HYPERLINK("https://znanium.ru/catalog/product/2093941", "Ознакомиться")</f>
        <v>Ознакомиться</v>
      </c>
      <c r="W346" s="8" t="s">
        <v>58</v>
      </c>
      <c r="X346" s="6"/>
      <c r="Y346" s="6"/>
      <c r="Z346" s="6"/>
      <c r="AA346" s="6" t="s">
        <v>650</v>
      </c>
    </row>
    <row r="347" spans="1:27" s="4" customFormat="1" ht="51.95" customHeight="1">
      <c r="A347" s="5">
        <v>0</v>
      </c>
      <c r="B347" s="6" t="s">
        <v>2301</v>
      </c>
      <c r="C347" s="7">
        <v>2114</v>
      </c>
      <c r="D347" s="8" t="s">
        <v>2302</v>
      </c>
      <c r="E347" s="8" t="s">
        <v>2303</v>
      </c>
      <c r="F347" s="8" t="s">
        <v>2304</v>
      </c>
      <c r="G347" s="6" t="s">
        <v>123</v>
      </c>
      <c r="H347" s="6" t="s">
        <v>38</v>
      </c>
      <c r="I347" s="8" t="s">
        <v>2305</v>
      </c>
      <c r="J347" s="9">
        <v>1</v>
      </c>
      <c r="K347" s="9">
        <v>456</v>
      </c>
      <c r="L347" s="9">
        <v>2024</v>
      </c>
      <c r="M347" s="8" t="s">
        <v>2306</v>
      </c>
      <c r="N347" s="8" t="s">
        <v>41</v>
      </c>
      <c r="O347" s="8" t="s">
        <v>42</v>
      </c>
      <c r="P347" s="6" t="s">
        <v>55</v>
      </c>
      <c r="Q347" s="8" t="s">
        <v>56</v>
      </c>
      <c r="R347" s="10" t="s">
        <v>2307</v>
      </c>
      <c r="S347" s="11" t="s">
        <v>2308</v>
      </c>
      <c r="T347" s="6"/>
      <c r="U347" s="28" t="str">
        <f>HYPERLINK("https://media.infra-m.ru/2122/2122488/cover/2122488.jpg", "Обложка")</f>
        <v>Обложка</v>
      </c>
      <c r="V347" s="28" t="str">
        <f>HYPERLINK("https://znanium.ru/catalog/product/2109025", "Ознакомиться")</f>
        <v>Ознакомиться</v>
      </c>
      <c r="W347" s="8" t="s">
        <v>557</v>
      </c>
      <c r="X347" s="6"/>
      <c r="Y347" s="6"/>
      <c r="Z347" s="6"/>
      <c r="AA347" s="6" t="s">
        <v>141</v>
      </c>
    </row>
    <row r="348" spans="1:27" s="4" customFormat="1" ht="51.95" customHeight="1">
      <c r="A348" s="5">
        <v>0</v>
      </c>
      <c r="B348" s="6" t="s">
        <v>2309</v>
      </c>
      <c r="C348" s="7">
        <v>1640</v>
      </c>
      <c r="D348" s="8" t="s">
        <v>2310</v>
      </c>
      <c r="E348" s="8" t="s">
        <v>2311</v>
      </c>
      <c r="F348" s="8" t="s">
        <v>2304</v>
      </c>
      <c r="G348" s="6" t="s">
        <v>83</v>
      </c>
      <c r="H348" s="6" t="s">
        <v>470</v>
      </c>
      <c r="I348" s="8" t="s">
        <v>2312</v>
      </c>
      <c r="J348" s="9">
        <v>1</v>
      </c>
      <c r="K348" s="9">
        <v>356</v>
      </c>
      <c r="L348" s="9">
        <v>2024</v>
      </c>
      <c r="M348" s="8" t="s">
        <v>2313</v>
      </c>
      <c r="N348" s="8" t="s">
        <v>41</v>
      </c>
      <c r="O348" s="8" t="s">
        <v>42</v>
      </c>
      <c r="P348" s="6" t="s">
        <v>55</v>
      </c>
      <c r="Q348" s="8" t="s">
        <v>56</v>
      </c>
      <c r="R348" s="10" t="s">
        <v>2286</v>
      </c>
      <c r="S348" s="11" t="s">
        <v>2314</v>
      </c>
      <c r="T348" s="6"/>
      <c r="U348" s="28" t="str">
        <f>HYPERLINK("https://media.infra-m.ru/2063/2063297/cover/2063297.jpg", "Обложка")</f>
        <v>Обложка</v>
      </c>
      <c r="V348" s="28" t="str">
        <f>HYPERLINK("https://znanium.ru/catalog/product/2063297", "Ознакомиться")</f>
        <v>Ознакомиться</v>
      </c>
      <c r="W348" s="8" t="s">
        <v>557</v>
      </c>
      <c r="X348" s="6"/>
      <c r="Y348" s="6"/>
      <c r="Z348" s="6"/>
      <c r="AA348" s="6" t="s">
        <v>68</v>
      </c>
    </row>
    <row r="349" spans="1:27" s="4" customFormat="1" ht="51.95" customHeight="1">
      <c r="A349" s="5">
        <v>0</v>
      </c>
      <c r="B349" s="6" t="s">
        <v>2315</v>
      </c>
      <c r="C349" s="7">
        <v>2690</v>
      </c>
      <c r="D349" s="8" t="s">
        <v>2316</v>
      </c>
      <c r="E349" s="8" t="s">
        <v>2317</v>
      </c>
      <c r="F349" s="8" t="s">
        <v>2318</v>
      </c>
      <c r="G349" s="6" t="s">
        <v>123</v>
      </c>
      <c r="H349" s="6" t="s">
        <v>38</v>
      </c>
      <c r="I349" s="8" t="s">
        <v>155</v>
      </c>
      <c r="J349" s="9">
        <v>1</v>
      </c>
      <c r="K349" s="9">
        <v>584</v>
      </c>
      <c r="L349" s="9">
        <v>2024</v>
      </c>
      <c r="M349" s="8" t="s">
        <v>2319</v>
      </c>
      <c r="N349" s="8" t="s">
        <v>41</v>
      </c>
      <c r="O349" s="8" t="s">
        <v>42</v>
      </c>
      <c r="P349" s="6" t="s">
        <v>176</v>
      </c>
      <c r="Q349" s="8" t="s">
        <v>177</v>
      </c>
      <c r="R349" s="10" t="s">
        <v>2293</v>
      </c>
      <c r="S349" s="11" t="s">
        <v>2320</v>
      </c>
      <c r="T349" s="6" t="s">
        <v>190</v>
      </c>
      <c r="U349" s="28" t="str">
        <f>HYPERLINK("https://media.infra-m.ru/2038/2038246/cover/2038246.jpg", "Обложка")</f>
        <v>Обложка</v>
      </c>
      <c r="V349" s="28" t="str">
        <f>HYPERLINK("https://znanium.ru/catalog/product/2038246", "Ознакомиться")</f>
        <v>Ознакомиться</v>
      </c>
      <c r="W349" s="8" t="s">
        <v>363</v>
      </c>
      <c r="X349" s="6"/>
      <c r="Y349" s="6"/>
      <c r="Z349" s="6"/>
      <c r="AA349" s="6" t="s">
        <v>2321</v>
      </c>
    </row>
    <row r="350" spans="1:27" s="4" customFormat="1" ht="42" customHeight="1">
      <c r="A350" s="5">
        <v>0</v>
      </c>
      <c r="B350" s="6" t="s">
        <v>2322</v>
      </c>
      <c r="C350" s="7">
        <v>2304</v>
      </c>
      <c r="D350" s="8" t="s">
        <v>2323</v>
      </c>
      <c r="E350" s="8" t="s">
        <v>2324</v>
      </c>
      <c r="F350" s="8" t="s">
        <v>2325</v>
      </c>
      <c r="G350" s="6" t="s">
        <v>83</v>
      </c>
      <c r="H350" s="6" t="s">
        <v>618</v>
      </c>
      <c r="I350" s="8"/>
      <c r="J350" s="9">
        <v>1</v>
      </c>
      <c r="K350" s="9">
        <v>512</v>
      </c>
      <c r="L350" s="9">
        <v>2023</v>
      </c>
      <c r="M350" s="8" t="s">
        <v>2326</v>
      </c>
      <c r="N350" s="8" t="s">
        <v>41</v>
      </c>
      <c r="O350" s="8" t="s">
        <v>42</v>
      </c>
      <c r="P350" s="6" t="s">
        <v>176</v>
      </c>
      <c r="Q350" s="8" t="s">
        <v>56</v>
      </c>
      <c r="R350" s="10" t="s">
        <v>2327</v>
      </c>
      <c r="S350" s="11"/>
      <c r="T350" s="6"/>
      <c r="U350" s="28" t="str">
        <f>HYPERLINK("https://media.infra-m.ru/2114/2114818/cover/2114818.jpg", "Обложка")</f>
        <v>Обложка</v>
      </c>
      <c r="V350" s="28" t="str">
        <f>HYPERLINK("https://znanium.ru/catalog/product/2114313", "Ознакомиться")</f>
        <v>Ознакомиться</v>
      </c>
      <c r="W350" s="8" t="s">
        <v>363</v>
      </c>
      <c r="X350" s="6"/>
      <c r="Y350" s="6"/>
      <c r="Z350" s="6"/>
      <c r="AA350" s="6" t="s">
        <v>2328</v>
      </c>
    </row>
    <row r="351" spans="1:27" s="4" customFormat="1" ht="51.95" customHeight="1">
      <c r="A351" s="5">
        <v>0</v>
      </c>
      <c r="B351" s="6" t="s">
        <v>2329</v>
      </c>
      <c r="C351" s="7">
        <v>1360</v>
      </c>
      <c r="D351" s="8" t="s">
        <v>2330</v>
      </c>
      <c r="E351" s="8" t="s">
        <v>2331</v>
      </c>
      <c r="F351" s="8" t="s">
        <v>2332</v>
      </c>
      <c r="G351" s="6" t="s">
        <v>83</v>
      </c>
      <c r="H351" s="6" t="s">
        <v>470</v>
      </c>
      <c r="I351" s="8"/>
      <c r="J351" s="9">
        <v>1</v>
      </c>
      <c r="K351" s="9">
        <v>296</v>
      </c>
      <c r="L351" s="9">
        <v>2024</v>
      </c>
      <c r="M351" s="8" t="s">
        <v>2333</v>
      </c>
      <c r="N351" s="8" t="s">
        <v>41</v>
      </c>
      <c r="O351" s="8" t="s">
        <v>42</v>
      </c>
      <c r="P351" s="6" t="s">
        <v>2334</v>
      </c>
      <c r="Q351" s="8" t="s">
        <v>56</v>
      </c>
      <c r="R351" s="10" t="s">
        <v>2293</v>
      </c>
      <c r="S351" s="11" t="s">
        <v>2335</v>
      </c>
      <c r="T351" s="6"/>
      <c r="U351" s="28" t="str">
        <f>HYPERLINK("https://media.infra-m.ru/2039/2039992/cover/2039992.jpg", "Обложка")</f>
        <v>Обложка</v>
      </c>
      <c r="V351" s="28" t="str">
        <f>HYPERLINK("https://znanium.ru/catalog/product/2039992", "Ознакомиться")</f>
        <v>Ознакомиться</v>
      </c>
      <c r="W351" s="8" t="s">
        <v>140</v>
      </c>
      <c r="X351" s="6"/>
      <c r="Y351" s="6"/>
      <c r="Z351" s="6"/>
      <c r="AA351" s="6" t="s">
        <v>2336</v>
      </c>
    </row>
    <row r="352" spans="1:27" s="4" customFormat="1" ht="51.95" customHeight="1">
      <c r="A352" s="5">
        <v>0</v>
      </c>
      <c r="B352" s="6" t="s">
        <v>2337</v>
      </c>
      <c r="C352" s="7">
        <v>1504</v>
      </c>
      <c r="D352" s="8" t="s">
        <v>2338</v>
      </c>
      <c r="E352" s="8" t="s">
        <v>2339</v>
      </c>
      <c r="F352" s="8" t="s">
        <v>2340</v>
      </c>
      <c r="G352" s="6" t="s">
        <v>83</v>
      </c>
      <c r="H352" s="6" t="s">
        <v>52</v>
      </c>
      <c r="I352" s="8" t="s">
        <v>155</v>
      </c>
      <c r="J352" s="9">
        <v>1</v>
      </c>
      <c r="K352" s="9">
        <v>320</v>
      </c>
      <c r="L352" s="9">
        <v>2024</v>
      </c>
      <c r="M352" s="8" t="s">
        <v>2341</v>
      </c>
      <c r="N352" s="8" t="s">
        <v>41</v>
      </c>
      <c r="O352" s="8" t="s">
        <v>42</v>
      </c>
      <c r="P352" s="6" t="s">
        <v>55</v>
      </c>
      <c r="Q352" s="8" t="s">
        <v>56</v>
      </c>
      <c r="R352" s="10" t="s">
        <v>569</v>
      </c>
      <c r="S352" s="11" t="s">
        <v>2342</v>
      </c>
      <c r="T352" s="6"/>
      <c r="U352" s="28" t="str">
        <f>HYPERLINK("https://media.infra-m.ru/2139/2139074/cover/2139074.jpg", "Обложка")</f>
        <v>Обложка</v>
      </c>
      <c r="V352" s="28" t="str">
        <f>HYPERLINK("https://znanium.ru/catalog/product/2139074", "Ознакомиться")</f>
        <v>Ознакомиться</v>
      </c>
      <c r="W352" s="8" t="s">
        <v>2343</v>
      </c>
      <c r="X352" s="6"/>
      <c r="Y352" s="6"/>
      <c r="Z352" s="6"/>
      <c r="AA352" s="6" t="s">
        <v>96</v>
      </c>
    </row>
    <row r="353" spans="1:27" s="4" customFormat="1" ht="51.95" customHeight="1">
      <c r="A353" s="5">
        <v>0</v>
      </c>
      <c r="B353" s="6" t="s">
        <v>2344</v>
      </c>
      <c r="C353" s="7">
        <v>1454</v>
      </c>
      <c r="D353" s="8" t="s">
        <v>2345</v>
      </c>
      <c r="E353" s="8" t="s">
        <v>2339</v>
      </c>
      <c r="F353" s="8" t="s">
        <v>2346</v>
      </c>
      <c r="G353" s="6" t="s">
        <v>123</v>
      </c>
      <c r="H353" s="6" t="s">
        <v>52</v>
      </c>
      <c r="I353" s="8" t="s">
        <v>205</v>
      </c>
      <c r="J353" s="9">
        <v>1</v>
      </c>
      <c r="K353" s="9">
        <v>320</v>
      </c>
      <c r="L353" s="9">
        <v>2023</v>
      </c>
      <c r="M353" s="8" t="s">
        <v>2347</v>
      </c>
      <c r="N353" s="8" t="s">
        <v>41</v>
      </c>
      <c r="O353" s="8" t="s">
        <v>42</v>
      </c>
      <c r="P353" s="6" t="s">
        <v>55</v>
      </c>
      <c r="Q353" s="8" t="s">
        <v>207</v>
      </c>
      <c r="R353" s="10" t="s">
        <v>2348</v>
      </c>
      <c r="S353" s="11" t="s">
        <v>2349</v>
      </c>
      <c r="T353" s="6"/>
      <c r="U353" s="28" t="str">
        <f>HYPERLINK("https://media.infra-m.ru/2021/2021422/cover/2021422.jpg", "Обложка")</f>
        <v>Обложка</v>
      </c>
      <c r="V353" s="28" t="str">
        <f>HYPERLINK("https://znanium.ru/catalog/product/961441", "Ознакомиться")</f>
        <v>Ознакомиться</v>
      </c>
      <c r="W353" s="8" t="s">
        <v>2343</v>
      </c>
      <c r="X353" s="6"/>
      <c r="Y353" s="6"/>
      <c r="Z353" s="6" t="s">
        <v>235</v>
      </c>
      <c r="AA353" s="6" t="s">
        <v>141</v>
      </c>
    </row>
    <row r="354" spans="1:27" s="4" customFormat="1" ht="51.95" customHeight="1">
      <c r="A354" s="5">
        <v>0</v>
      </c>
      <c r="B354" s="6" t="s">
        <v>2350</v>
      </c>
      <c r="C354" s="7">
        <v>1990</v>
      </c>
      <c r="D354" s="8" t="s">
        <v>2351</v>
      </c>
      <c r="E354" s="8" t="s">
        <v>2352</v>
      </c>
      <c r="F354" s="8" t="s">
        <v>2353</v>
      </c>
      <c r="G354" s="6" t="s">
        <v>123</v>
      </c>
      <c r="H354" s="6" t="s">
        <v>38</v>
      </c>
      <c r="I354" s="8" t="s">
        <v>205</v>
      </c>
      <c r="J354" s="9">
        <v>1</v>
      </c>
      <c r="K354" s="9">
        <v>432</v>
      </c>
      <c r="L354" s="9">
        <v>2024</v>
      </c>
      <c r="M354" s="8" t="s">
        <v>2354</v>
      </c>
      <c r="N354" s="8" t="s">
        <v>41</v>
      </c>
      <c r="O354" s="8" t="s">
        <v>54</v>
      </c>
      <c r="P354" s="6" t="s">
        <v>55</v>
      </c>
      <c r="Q354" s="8" t="s">
        <v>207</v>
      </c>
      <c r="R354" s="10" t="s">
        <v>2355</v>
      </c>
      <c r="S354" s="11" t="s">
        <v>2356</v>
      </c>
      <c r="T354" s="6"/>
      <c r="U354" s="28" t="str">
        <f>HYPERLINK("https://media.infra-m.ru/2086/2086810/cover/2086810.jpg", "Обложка")</f>
        <v>Обложка</v>
      </c>
      <c r="V354" s="28" t="str">
        <f>HYPERLINK("https://znanium.ru/catalog/product/2086810", "Ознакомиться")</f>
        <v>Ознакомиться</v>
      </c>
      <c r="W354" s="8" t="s">
        <v>571</v>
      </c>
      <c r="X354" s="6"/>
      <c r="Y354" s="6"/>
      <c r="Z354" s="6" t="s">
        <v>235</v>
      </c>
      <c r="AA354" s="6" t="s">
        <v>2357</v>
      </c>
    </row>
    <row r="355" spans="1:27" s="4" customFormat="1" ht="51.95" customHeight="1">
      <c r="A355" s="5">
        <v>0</v>
      </c>
      <c r="B355" s="6" t="s">
        <v>2358</v>
      </c>
      <c r="C355" s="7">
        <v>1380</v>
      </c>
      <c r="D355" s="8" t="s">
        <v>2359</v>
      </c>
      <c r="E355" s="8" t="s">
        <v>2360</v>
      </c>
      <c r="F355" s="8" t="s">
        <v>2361</v>
      </c>
      <c r="G355" s="6" t="s">
        <v>83</v>
      </c>
      <c r="H355" s="6" t="s">
        <v>38</v>
      </c>
      <c r="I355" s="8" t="s">
        <v>155</v>
      </c>
      <c r="J355" s="9">
        <v>1</v>
      </c>
      <c r="K355" s="9">
        <v>300</v>
      </c>
      <c r="L355" s="9">
        <v>2024</v>
      </c>
      <c r="M355" s="8" t="s">
        <v>2362</v>
      </c>
      <c r="N355" s="8" t="s">
        <v>74</v>
      </c>
      <c r="O355" s="8" t="s">
        <v>75</v>
      </c>
      <c r="P355" s="6" t="s">
        <v>176</v>
      </c>
      <c r="Q355" s="8" t="s">
        <v>177</v>
      </c>
      <c r="R355" s="10" t="s">
        <v>2363</v>
      </c>
      <c r="S355" s="11" t="s">
        <v>2364</v>
      </c>
      <c r="T355" s="6"/>
      <c r="U355" s="28" t="str">
        <f>HYPERLINK("https://media.infra-m.ru/2130/2130437/cover/2130437.jpg", "Обложка")</f>
        <v>Обложка</v>
      </c>
      <c r="V355" s="28" t="str">
        <f>HYPERLINK("https://znanium.ru/catalog/product/2130437", "Ознакомиться")</f>
        <v>Ознакомиться</v>
      </c>
      <c r="W355" s="8" t="s">
        <v>355</v>
      </c>
      <c r="X355" s="6"/>
      <c r="Y355" s="6"/>
      <c r="Z355" s="6"/>
      <c r="AA355" s="6" t="s">
        <v>193</v>
      </c>
    </row>
    <row r="356" spans="1:27" s="4" customFormat="1" ht="51.95" customHeight="1">
      <c r="A356" s="5">
        <v>0</v>
      </c>
      <c r="B356" s="6" t="s">
        <v>2365</v>
      </c>
      <c r="C356" s="7">
        <v>2300</v>
      </c>
      <c r="D356" s="8" t="s">
        <v>2366</v>
      </c>
      <c r="E356" s="8" t="s">
        <v>2367</v>
      </c>
      <c r="F356" s="8" t="s">
        <v>2368</v>
      </c>
      <c r="G356" s="6" t="s">
        <v>83</v>
      </c>
      <c r="H356" s="6" t="s">
        <v>52</v>
      </c>
      <c r="I356" s="8" t="s">
        <v>205</v>
      </c>
      <c r="J356" s="9">
        <v>1</v>
      </c>
      <c r="K356" s="9">
        <v>512</v>
      </c>
      <c r="L356" s="9">
        <v>2023</v>
      </c>
      <c r="M356" s="8" t="s">
        <v>2369</v>
      </c>
      <c r="N356" s="8" t="s">
        <v>41</v>
      </c>
      <c r="O356" s="8" t="s">
        <v>54</v>
      </c>
      <c r="P356" s="6" t="s">
        <v>55</v>
      </c>
      <c r="Q356" s="8" t="s">
        <v>207</v>
      </c>
      <c r="R356" s="10" t="s">
        <v>2370</v>
      </c>
      <c r="S356" s="11" t="s">
        <v>2371</v>
      </c>
      <c r="T356" s="6"/>
      <c r="U356" s="28" t="str">
        <f>HYPERLINK("https://media.infra-m.ru/1976/1976194/cover/1976194.jpg", "Обложка")</f>
        <v>Обложка</v>
      </c>
      <c r="V356" s="28" t="str">
        <f>HYPERLINK("https://znanium.ru/catalog/product/1976194", "Ознакомиться")</f>
        <v>Ознакомиться</v>
      </c>
      <c r="W356" s="8" t="s">
        <v>969</v>
      </c>
      <c r="X356" s="6"/>
      <c r="Y356" s="6"/>
      <c r="Z356" s="6" t="s">
        <v>235</v>
      </c>
      <c r="AA356" s="6" t="s">
        <v>768</v>
      </c>
    </row>
    <row r="357" spans="1:27" s="4" customFormat="1" ht="51.95" customHeight="1">
      <c r="A357" s="5">
        <v>0</v>
      </c>
      <c r="B357" s="6" t="s">
        <v>2372</v>
      </c>
      <c r="C357" s="7">
        <v>1984</v>
      </c>
      <c r="D357" s="8" t="s">
        <v>2373</v>
      </c>
      <c r="E357" s="8" t="s">
        <v>2352</v>
      </c>
      <c r="F357" s="8" t="s">
        <v>2374</v>
      </c>
      <c r="G357" s="6" t="s">
        <v>123</v>
      </c>
      <c r="H357" s="6" t="s">
        <v>38</v>
      </c>
      <c r="I357" s="8" t="s">
        <v>164</v>
      </c>
      <c r="J357" s="9">
        <v>1</v>
      </c>
      <c r="K357" s="9">
        <v>432</v>
      </c>
      <c r="L357" s="9">
        <v>2024</v>
      </c>
      <c r="M357" s="8" t="s">
        <v>2375</v>
      </c>
      <c r="N357" s="8" t="s">
        <v>41</v>
      </c>
      <c r="O357" s="8" t="s">
        <v>54</v>
      </c>
      <c r="P357" s="6" t="s">
        <v>55</v>
      </c>
      <c r="Q357" s="8" t="s">
        <v>56</v>
      </c>
      <c r="R357" s="10" t="s">
        <v>2376</v>
      </c>
      <c r="S357" s="11" t="s">
        <v>2377</v>
      </c>
      <c r="T357" s="6"/>
      <c r="U357" s="28" t="str">
        <f>HYPERLINK("https://media.infra-m.ru/2086/2086812/cover/2086812.jpg", "Обложка")</f>
        <v>Обложка</v>
      </c>
      <c r="V357" s="28" t="str">
        <f>HYPERLINK("https://znanium.ru/catalog/product/1943578", "Ознакомиться")</f>
        <v>Ознакомиться</v>
      </c>
      <c r="W357" s="8" t="s">
        <v>571</v>
      </c>
      <c r="X357" s="6"/>
      <c r="Y357" s="6"/>
      <c r="Z357" s="6"/>
      <c r="AA357" s="6" t="s">
        <v>2378</v>
      </c>
    </row>
    <row r="358" spans="1:27" s="4" customFormat="1" ht="51.95" customHeight="1">
      <c r="A358" s="5">
        <v>0</v>
      </c>
      <c r="B358" s="6" t="s">
        <v>2379</v>
      </c>
      <c r="C358" s="7">
        <v>1424.9</v>
      </c>
      <c r="D358" s="8" t="s">
        <v>2380</v>
      </c>
      <c r="E358" s="8" t="s">
        <v>2381</v>
      </c>
      <c r="F358" s="8" t="s">
        <v>2382</v>
      </c>
      <c r="G358" s="6" t="s">
        <v>83</v>
      </c>
      <c r="H358" s="6" t="s">
        <v>38</v>
      </c>
      <c r="I358" s="8" t="s">
        <v>164</v>
      </c>
      <c r="J358" s="9">
        <v>1</v>
      </c>
      <c r="K358" s="9">
        <v>316</v>
      </c>
      <c r="L358" s="9">
        <v>2023</v>
      </c>
      <c r="M358" s="8" t="s">
        <v>2383</v>
      </c>
      <c r="N358" s="8" t="s">
        <v>41</v>
      </c>
      <c r="O358" s="8" t="s">
        <v>54</v>
      </c>
      <c r="P358" s="6" t="s">
        <v>55</v>
      </c>
      <c r="Q358" s="8" t="s">
        <v>56</v>
      </c>
      <c r="R358" s="10" t="s">
        <v>2384</v>
      </c>
      <c r="S358" s="11" t="s">
        <v>2385</v>
      </c>
      <c r="T358" s="6" t="s">
        <v>190</v>
      </c>
      <c r="U358" s="28" t="str">
        <f>HYPERLINK("https://media.infra-m.ru/1911/1911821/cover/1911821.jpg", "Обложка")</f>
        <v>Обложка</v>
      </c>
      <c r="V358" s="28" t="str">
        <f>HYPERLINK("https://znanium.ru/catalog/product/1044532", "Ознакомиться")</f>
        <v>Ознакомиться</v>
      </c>
      <c r="W358" s="8" t="s">
        <v>969</v>
      </c>
      <c r="X358" s="6"/>
      <c r="Y358" s="6"/>
      <c r="Z358" s="6"/>
      <c r="AA358" s="6" t="s">
        <v>364</v>
      </c>
    </row>
    <row r="359" spans="1:27" s="4" customFormat="1" ht="42" customHeight="1">
      <c r="A359" s="5">
        <v>0</v>
      </c>
      <c r="B359" s="6" t="s">
        <v>2386</v>
      </c>
      <c r="C359" s="7">
        <v>1890</v>
      </c>
      <c r="D359" s="8" t="s">
        <v>2387</v>
      </c>
      <c r="E359" s="8" t="s">
        <v>2388</v>
      </c>
      <c r="F359" s="8" t="s">
        <v>2389</v>
      </c>
      <c r="G359" s="6" t="s">
        <v>123</v>
      </c>
      <c r="H359" s="6" t="s">
        <v>38</v>
      </c>
      <c r="I359" s="8" t="s">
        <v>155</v>
      </c>
      <c r="J359" s="9">
        <v>1</v>
      </c>
      <c r="K359" s="9">
        <v>410</v>
      </c>
      <c r="L359" s="9">
        <v>2024</v>
      </c>
      <c r="M359" s="8" t="s">
        <v>2390</v>
      </c>
      <c r="N359" s="8" t="s">
        <v>74</v>
      </c>
      <c r="O359" s="8" t="s">
        <v>75</v>
      </c>
      <c r="P359" s="6" t="s">
        <v>176</v>
      </c>
      <c r="Q359" s="8" t="s">
        <v>56</v>
      </c>
      <c r="R359" s="10" t="s">
        <v>2391</v>
      </c>
      <c r="S359" s="11"/>
      <c r="T359" s="6"/>
      <c r="U359" s="28" t="str">
        <f>HYPERLINK("https://media.infra-m.ru/1907/1907071/cover/1907071.jpg", "Обложка")</f>
        <v>Обложка</v>
      </c>
      <c r="V359" s="28" t="str">
        <f>HYPERLINK("https://znanium.ru/catalog/product/1907071", "Ознакомиться")</f>
        <v>Ознакомиться</v>
      </c>
      <c r="W359" s="8" t="s">
        <v>355</v>
      </c>
      <c r="X359" s="6" t="s">
        <v>298</v>
      </c>
      <c r="Y359" s="6"/>
      <c r="Z359" s="6"/>
      <c r="AA359" s="6" t="s">
        <v>180</v>
      </c>
    </row>
    <row r="360" spans="1:27" s="4" customFormat="1" ht="42" customHeight="1">
      <c r="A360" s="5">
        <v>0</v>
      </c>
      <c r="B360" s="6" t="s">
        <v>2392</v>
      </c>
      <c r="C360" s="7">
        <v>1834.9</v>
      </c>
      <c r="D360" s="8" t="s">
        <v>2393</v>
      </c>
      <c r="E360" s="8" t="s">
        <v>2394</v>
      </c>
      <c r="F360" s="8" t="s">
        <v>2395</v>
      </c>
      <c r="G360" s="6" t="s">
        <v>123</v>
      </c>
      <c r="H360" s="6" t="s">
        <v>38</v>
      </c>
      <c r="I360" s="8" t="s">
        <v>164</v>
      </c>
      <c r="J360" s="9">
        <v>1</v>
      </c>
      <c r="K360" s="9">
        <v>540</v>
      </c>
      <c r="L360" s="9">
        <v>2021</v>
      </c>
      <c r="M360" s="8" t="s">
        <v>2396</v>
      </c>
      <c r="N360" s="8" t="s">
        <v>74</v>
      </c>
      <c r="O360" s="8" t="s">
        <v>75</v>
      </c>
      <c r="P360" s="6" t="s">
        <v>176</v>
      </c>
      <c r="Q360" s="8" t="s">
        <v>56</v>
      </c>
      <c r="R360" s="10" t="s">
        <v>460</v>
      </c>
      <c r="S360" s="11"/>
      <c r="T360" s="6" t="s">
        <v>190</v>
      </c>
      <c r="U360" s="28" t="str">
        <f>HYPERLINK("https://media.infra-m.ru/1132/1132142/cover/1132142.jpg", "Обложка")</f>
        <v>Обложка</v>
      </c>
      <c r="V360" s="28" t="str">
        <f>HYPERLINK("https://znanium.ru/catalog/product/2112513", "Ознакомиться")</f>
        <v>Ознакомиться</v>
      </c>
      <c r="W360" s="8" t="s">
        <v>58</v>
      </c>
      <c r="X360" s="6"/>
      <c r="Y360" s="6"/>
      <c r="Z360" s="6"/>
      <c r="AA360" s="6" t="s">
        <v>59</v>
      </c>
    </row>
    <row r="361" spans="1:27" s="4" customFormat="1" ht="51.95" customHeight="1">
      <c r="A361" s="5">
        <v>0</v>
      </c>
      <c r="B361" s="6" t="s">
        <v>2397</v>
      </c>
      <c r="C361" s="7">
        <v>2074.9</v>
      </c>
      <c r="D361" s="8" t="s">
        <v>2398</v>
      </c>
      <c r="E361" s="8" t="s">
        <v>2399</v>
      </c>
      <c r="F361" s="8" t="s">
        <v>2400</v>
      </c>
      <c r="G361" s="6" t="s">
        <v>83</v>
      </c>
      <c r="H361" s="6" t="s">
        <v>38</v>
      </c>
      <c r="I361" s="8" t="s">
        <v>164</v>
      </c>
      <c r="J361" s="9">
        <v>1</v>
      </c>
      <c r="K361" s="9">
        <v>547</v>
      </c>
      <c r="L361" s="9">
        <v>2022</v>
      </c>
      <c r="M361" s="8" t="s">
        <v>2401</v>
      </c>
      <c r="N361" s="8" t="s">
        <v>74</v>
      </c>
      <c r="O361" s="8" t="s">
        <v>75</v>
      </c>
      <c r="P361" s="6" t="s">
        <v>176</v>
      </c>
      <c r="Q361" s="8" t="s">
        <v>56</v>
      </c>
      <c r="R361" s="10" t="s">
        <v>460</v>
      </c>
      <c r="S361" s="11" t="s">
        <v>2402</v>
      </c>
      <c r="T361" s="6" t="s">
        <v>190</v>
      </c>
      <c r="U361" s="28" t="str">
        <f>HYPERLINK("https://media.infra-m.ru/1789/1789409/cover/1789409.jpg", "Обложка")</f>
        <v>Обложка</v>
      </c>
      <c r="V361" s="28" t="str">
        <f>HYPERLINK("https://znanium.ru/catalog/product/2112513", "Ознакомиться")</f>
        <v>Ознакомиться</v>
      </c>
      <c r="W361" s="8" t="s">
        <v>58</v>
      </c>
      <c r="X361" s="6"/>
      <c r="Y361" s="6"/>
      <c r="Z361" s="6"/>
      <c r="AA361" s="6" t="s">
        <v>1006</v>
      </c>
    </row>
    <row r="362" spans="1:27" s="4" customFormat="1" ht="51.95" customHeight="1">
      <c r="A362" s="5">
        <v>0</v>
      </c>
      <c r="B362" s="6" t="s">
        <v>2403</v>
      </c>
      <c r="C362" s="7">
        <v>2484</v>
      </c>
      <c r="D362" s="8" t="s">
        <v>2404</v>
      </c>
      <c r="E362" s="8" t="s">
        <v>2405</v>
      </c>
      <c r="F362" s="8" t="s">
        <v>2400</v>
      </c>
      <c r="G362" s="6" t="s">
        <v>123</v>
      </c>
      <c r="H362" s="6" t="s">
        <v>38</v>
      </c>
      <c r="I362" s="8" t="s">
        <v>155</v>
      </c>
      <c r="J362" s="9">
        <v>1</v>
      </c>
      <c r="K362" s="9">
        <v>547</v>
      </c>
      <c r="L362" s="9">
        <v>2023</v>
      </c>
      <c r="M362" s="8" t="s">
        <v>2406</v>
      </c>
      <c r="N362" s="8" t="s">
        <v>74</v>
      </c>
      <c r="O362" s="8" t="s">
        <v>75</v>
      </c>
      <c r="P362" s="6" t="s">
        <v>176</v>
      </c>
      <c r="Q362" s="8" t="s">
        <v>177</v>
      </c>
      <c r="R362" s="10" t="s">
        <v>460</v>
      </c>
      <c r="S362" s="11" t="s">
        <v>2407</v>
      </c>
      <c r="T362" s="6" t="s">
        <v>190</v>
      </c>
      <c r="U362" s="28" t="str">
        <f>HYPERLINK("https://media.infra-m.ru/2114/2114819/cover/2114819.jpg", "Обложка")</f>
        <v>Обложка</v>
      </c>
      <c r="V362" s="28" t="str">
        <f>HYPERLINK("https://znanium.ru/catalog/product/2112513", "Ознакомиться")</f>
        <v>Ознакомиться</v>
      </c>
      <c r="W362" s="8" t="s">
        <v>58</v>
      </c>
      <c r="X362" s="6"/>
      <c r="Y362" s="6"/>
      <c r="Z362" s="6"/>
      <c r="AA362" s="6" t="s">
        <v>2408</v>
      </c>
    </row>
    <row r="363" spans="1:27" s="4" customFormat="1" ht="51.95" customHeight="1">
      <c r="A363" s="5">
        <v>0</v>
      </c>
      <c r="B363" s="6" t="s">
        <v>2409</v>
      </c>
      <c r="C363" s="7">
        <v>2294.9</v>
      </c>
      <c r="D363" s="8" t="s">
        <v>2410</v>
      </c>
      <c r="E363" s="8" t="s">
        <v>2367</v>
      </c>
      <c r="F363" s="8" t="s">
        <v>2368</v>
      </c>
      <c r="G363" s="6" t="s">
        <v>123</v>
      </c>
      <c r="H363" s="6" t="s">
        <v>52</v>
      </c>
      <c r="I363" s="8"/>
      <c r="J363" s="9">
        <v>1</v>
      </c>
      <c r="K363" s="9">
        <v>512</v>
      </c>
      <c r="L363" s="9">
        <v>2023</v>
      </c>
      <c r="M363" s="8" t="s">
        <v>2411</v>
      </c>
      <c r="N363" s="8" t="s">
        <v>41</v>
      </c>
      <c r="O363" s="8" t="s">
        <v>54</v>
      </c>
      <c r="P363" s="6" t="s">
        <v>55</v>
      </c>
      <c r="Q363" s="8" t="s">
        <v>56</v>
      </c>
      <c r="R363" s="10" t="s">
        <v>2412</v>
      </c>
      <c r="S363" s="11"/>
      <c r="T363" s="6"/>
      <c r="U363" s="28" t="str">
        <f>HYPERLINK("https://media.infra-m.ru/1913/1913032/cover/1913032.jpg", "Обложка")</f>
        <v>Обложка</v>
      </c>
      <c r="V363" s="28" t="str">
        <f>HYPERLINK("https://znanium.ru/catalog/product/1081941", "Ознакомиться")</f>
        <v>Ознакомиться</v>
      </c>
      <c r="W363" s="8" t="s">
        <v>969</v>
      </c>
      <c r="X363" s="6"/>
      <c r="Y363" s="6"/>
      <c r="Z363" s="6"/>
      <c r="AA363" s="6" t="s">
        <v>676</v>
      </c>
    </row>
    <row r="364" spans="1:27" s="4" customFormat="1" ht="51.95" customHeight="1">
      <c r="A364" s="5">
        <v>0</v>
      </c>
      <c r="B364" s="6" t="s">
        <v>2413</v>
      </c>
      <c r="C364" s="7">
        <v>2944</v>
      </c>
      <c r="D364" s="8" t="s">
        <v>2414</v>
      </c>
      <c r="E364" s="8" t="s">
        <v>2415</v>
      </c>
      <c r="F364" s="8" t="s">
        <v>2416</v>
      </c>
      <c r="G364" s="6" t="s">
        <v>123</v>
      </c>
      <c r="H364" s="6" t="s">
        <v>38</v>
      </c>
      <c r="I364" s="8" t="s">
        <v>164</v>
      </c>
      <c r="J364" s="9">
        <v>1</v>
      </c>
      <c r="K364" s="9">
        <v>640</v>
      </c>
      <c r="L364" s="9">
        <v>2024</v>
      </c>
      <c r="M364" s="8" t="s">
        <v>2417</v>
      </c>
      <c r="N364" s="8" t="s">
        <v>74</v>
      </c>
      <c r="O364" s="8" t="s">
        <v>93</v>
      </c>
      <c r="P364" s="6" t="s">
        <v>176</v>
      </c>
      <c r="Q364" s="8" t="s">
        <v>56</v>
      </c>
      <c r="R364" s="10" t="s">
        <v>1541</v>
      </c>
      <c r="S364" s="11" t="s">
        <v>2418</v>
      </c>
      <c r="T364" s="6"/>
      <c r="U364" s="28" t="str">
        <f>HYPERLINK("https://media.infra-m.ru/2084/2084542/cover/2084542.jpg", "Обложка")</f>
        <v>Обложка</v>
      </c>
      <c r="V364" s="28" t="str">
        <f>HYPERLINK("https://znanium.ru/catalog/product/1081037", "Ознакомиться")</f>
        <v>Ознакомиться</v>
      </c>
      <c r="W364" s="8" t="s">
        <v>1028</v>
      </c>
      <c r="X364" s="6"/>
      <c r="Y364" s="6"/>
      <c r="Z364" s="6"/>
      <c r="AA364" s="6" t="s">
        <v>2419</v>
      </c>
    </row>
    <row r="365" spans="1:27" s="4" customFormat="1" ht="51.95" customHeight="1">
      <c r="A365" s="5">
        <v>0</v>
      </c>
      <c r="B365" s="6" t="s">
        <v>2420</v>
      </c>
      <c r="C365" s="13">
        <v>790</v>
      </c>
      <c r="D365" s="8" t="s">
        <v>2421</v>
      </c>
      <c r="E365" s="8" t="s">
        <v>2422</v>
      </c>
      <c r="F365" s="8" t="s">
        <v>2423</v>
      </c>
      <c r="G365" s="6" t="s">
        <v>83</v>
      </c>
      <c r="H365" s="6" t="s">
        <v>38</v>
      </c>
      <c r="I365" s="8" t="s">
        <v>884</v>
      </c>
      <c r="J365" s="9">
        <v>1</v>
      </c>
      <c r="K365" s="9">
        <v>169</v>
      </c>
      <c r="L365" s="9">
        <v>2024</v>
      </c>
      <c r="M365" s="8" t="s">
        <v>2424</v>
      </c>
      <c r="N365" s="8" t="s">
        <v>41</v>
      </c>
      <c r="O365" s="8" t="s">
        <v>42</v>
      </c>
      <c r="P365" s="6" t="s">
        <v>55</v>
      </c>
      <c r="Q365" s="8" t="s">
        <v>594</v>
      </c>
      <c r="R365" s="10" t="s">
        <v>1567</v>
      </c>
      <c r="S365" s="11"/>
      <c r="T365" s="6" t="s">
        <v>190</v>
      </c>
      <c r="U365" s="28" t="str">
        <f>HYPERLINK("https://media.infra-m.ru/2107/2107404/cover/2107404.jpg", "Обложка")</f>
        <v>Обложка</v>
      </c>
      <c r="V365" s="28" t="str">
        <f>HYPERLINK("https://znanium.ru/catalog/product/2107404", "Ознакомиться")</f>
        <v>Ознакомиться</v>
      </c>
      <c r="W365" s="8" t="s">
        <v>2425</v>
      </c>
      <c r="X365" s="6"/>
      <c r="Y365" s="6"/>
      <c r="Z365" s="6"/>
      <c r="AA365" s="6" t="s">
        <v>290</v>
      </c>
    </row>
    <row r="366" spans="1:27" s="4" customFormat="1" ht="42" customHeight="1">
      <c r="A366" s="5">
        <v>0</v>
      </c>
      <c r="B366" s="6" t="s">
        <v>2426</v>
      </c>
      <c r="C366" s="7">
        <v>1430</v>
      </c>
      <c r="D366" s="8" t="s">
        <v>2427</v>
      </c>
      <c r="E366" s="8" t="s">
        <v>2428</v>
      </c>
      <c r="F366" s="8" t="s">
        <v>2325</v>
      </c>
      <c r="G366" s="6" t="s">
        <v>83</v>
      </c>
      <c r="H366" s="6" t="s">
        <v>618</v>
      </c>
      <c r="I366" s="8"/>
      <c r="J366" s="9">
        <v>1</v>
      </c>
      <c r="K366" s="9">
        <v>304</v>
      </c>
      <c r="L366" s="9">
        <v>2024</v>
      </c>
      <c r="M366" s="8" t="s">
        <v>2429</v>
      </c>
      <c r="N366" s="8" t="s">
        <v>41</v>
      </c>
      <c r="O366" s="8" t="s">
        <v>42</v>
      </c>
      <c r="P366" s="6" t="s">
        <v>176</v>
      </c>
      <c r="Q366" s="8" t="s">
        <v>56</v>
      </c>
      <c r="R366" s="10" t="s">
        <v>2286</v>
      </c>
      <c r="S366" s="11"/>
      <c r="T366" s="6"/>
      <c r="U366" s="28" t="str">
        <f>HYPERLINK("https://media.infra-m.ru/2114/2114315/cover/2114315.jpg", "Обложка")</f>
        <v>Обложка</v>
      </c>
      <c r="V366" s="28" t="str">
        <f>HYPERLINK("https://znanium.ru/catalog/product/1904502", "Ознакомиться")</f>
        <v>Ознакомиться</v>
      </c>
      <c r="W366" s="8" t="s">
        <v>363</v>
      </c>
      <c r="X366" s="6"/>
      <c r="Y366" s="6"/>
      <c r="Z366" s="6"/>
      <c r="AA366" s="6" t="s">
        <v>650</v>
      </c>
    </row>
    <row r="367" spans="1:27" s="4" customFormat="1" ht="42" customHeight="1">
      <c r="A367" s="5">
        <v>0</v>
      </c>
      <c r="B367" s="6" t="s">
        <v>2430</v>
      </c>
      <c r="C367" s="7">
        <v>1994</v>
      </c>
      <c r="D367" s="8" t="s">
        <v>2431</v>
      </c>
      <c r="E367" s="8" t="s">
        <v>2432</v>
      </c>
      <c r="F367" s="8" t="s">
        <v>2433</v>
      </c>
      <c r="G367" s="6" t="s">
        <v>123</v>
      </c>
      <c r="H367" s="6" t="s">
        <v>618</v>
      </c>
      <c r="I367" s="8"/>
      <c r="J367" s="9">
        <v>1</v>
      </c>
      <c r="K367" s="9">
        <v>720</v>
      </c>
      <c r="L367" s="9">
        <v>2024</v>
      </c>
      <c r="M367" s="8"/>
      <c r="N367" s="8" t="s">
        <v>41</v>
      </c>
      <c r="O367" s="8" t="s">
        <v>42</v>
      </c>
      <c r="P367" s="6" t="s">
        <v>55</v>
      </c>
      <c r="Q367" s="8" t="s">
        <v>56</v>
      </c>
      <c r="R367" s="10" t="s">
        <v>2286</v>
      </c>
      <c r="S367" s="11"/>
      <c r="T367" s="6"/>
      <c r="U367" s="28" t="str">
        <f>HYPERLINK("https://media.infra-m.ru/2151/2151404/cover/2151404.jpg", "Обложка")</f>
        <v>Обложка</v>
      </c>
      <c r="V367" s="28" t="str">
        <f>HYPERLINK("https://znanium.ru/catalog/product/1860904", "Ознакомиться")</f>
        <v>Ознакомиться</v>
      </c>
      <c r="W367" s="8" t="s">
        <v>363</v>
      </c>
      <c r="X367" s="6"/>
      <c r="Y367" s="6"/>
      <c r="Z367" s="6"/>
      <c r="AA367" s="6" t="s">
        <v>1138</v>
      </c>
    </row>
    <row r="368" spans="1:27" s="4" customFormat="1" ht="51.95" customHeight="1">
      <c r="A368" s="5">
        <v>0</v>
      </c>
      <c r="B368" s="6" t="s">
        <v>2434</v>
      </c>
      <c r="C368" s="13">
        <v>744.9</v>
      </c>
      <c r="D368" s="8" t="s">
        <v>2435</v>
      </c>
      <c r="E368" s="8" t="s">
        <v>2436</v>
      </c>
      <c r="F368" s="8" t="s">
        <v>2437</v>
      </c>
      <c r="G368" s="6" t="s">
        <v>123</v>
      </c>
      <c r="H368" s="6" t="s">
        <v>470</v>
      </c>
      <c r="I368" s="8"/>
      <c r="J368" s="9">
        <v>1</v>
      </c>
      <c r="K368" s="9">
        <v>166</v>
      </c>
      <c r="L368" s="9">
        <v>2023</v>
      </c>
      <c r="M368" s="8" t="s">
        <v>2438</v>
      </c>
      <c r="N368" s="8" t="s">
        <v>74</v>
      </c>
      <c r="O368" s="8" t="s">
        <v>93</v>
      </c>
      <c r="P368" s="6" t="s">
        <v>55</v>
      </c>
      <c r="Q368" s="8" t="s">
        <v>56</v>
      </c>
      <c r="R368" s="10" t="s">
        <v>2439</v>
      </c>
      <c r="S368" s="11"/>
      <c r="T368" s="6"/>
      <c r="U368" s="28" t="str">
        <f>HYPERLINK("https://media.infra-m.ru/1905/1905731/cover/1905731.jpg", "Обложка")</f>
        <v>Обложка</v>
      </c>
      <c r="V368" s="28" t="str">
        <f>HYPERLINK("https://znanium.ru/catalog/product/1905731", "Ознакомиться")</f>
        <v>Ознакомиться</v>
      </c>
      <c r="W368" s="8" t="s">
        <v>140</v>
      </c>
      <c r="X368" s="6"/>
      <c r="Y368" s="6"/>
      <c r="Z368" s="6"/>
      <c r="AA368" s="6" t="s">
        <v>96</v>
      </c>
    </row>
    <row r="369" spans="1:27" s="4" customFormat="1" ht="51.95" customHeight="1">
      <c r="A369" s="5">
        <v>0</v>
      </c>
      <c r="B369" s="6" t="s">
        <v>2440</v>
      </c>
      <c r="C369" s="7">
        <v>1224</v>
      </c>
      <c r="D369" s="8" t="s">
        <v>2441</v>
      </c>
      <c r="E369" s="8" t="s">
        <v>2442</v>
      </c>
      <c r="F369" s="8" t="s">
        <v>2443</v>
      </c>
      <c r="G369" s="6" t="s">
        <v>123</v>
      </c>
      <c r="H369" s="6" t="s">
        <v>38</v>
      </c>
      <c r="I369" s="8" t="s">
        <v>164</v>
      </c>
      <c r="J369" s="9">
        <v>1</v>
      </c>
      <c r="K369" s="9">
        <v>269</v>
      </c>
      <c r="L369" s="9">
        <v>2023</v>
      </c>
      <c r="M369" s="8" t="s">
        <v>2444</v>
      </c>
      <c r="N369" s="8" t="s">
        <v>41</v>
      </c>
      <c r="O369" s="8" t="s">
        <v>65</v>
      </c>
      <c r="P369" s="6" t="s">
        <v>55</v>
      </c>
      <c r="Q369" s="8" t="s">
        <v>56</v>
      </c>
      <c r="R369" s="10" t="s">
        <v>2445</v>
      </c>
      <c r="S369" s="11" t="s">
        <v>2446</v>
      </c>
      <c r="T369" s="6" t="s">
        <v>190</v>
      </c>
      <c r="U369" s="28" t="str">
        <f>HYPERLINK("https://media.infra-m.ru/2021/2021448/cover/2021448.jpg", "Обложка")</f>
        <v>Обложка</v>
      </c>
      <c r="V369" s="28" t="str">
        <f>HYPERLINK("https://znanium.ru/catalog/product/2021448", "Ознакомиться")</f>
        <v>Ознакомиться</v>
      </c>
      <c r="W369" s="8" t="s">
        <v>2447</v>
      </c>
      <c r="X369" s="6"/>
      <c r="Y369" s="6"/>
      <c r="Z369" s="6"/>
      <c r="AA369" s="6" t="s">
        <v>141</v>
      </c>
    </row>
    <row r="370" spans="1:27" s="4" customFormat="1" ht="42" customHeight="1">
      <c r="A370" s="5">
        <v>0</v>
      </c>
      <c r="B370" s="6" t="s">
        <v>2448</v>
      </c>
      <c r="C370" s="13">
        <v>794</v>
      </c>
      <c r="D370" s="8" t="s">
        <v>2449</v>
      </c>
      <c r="E370" s="8" t="s">
        <v>2442</v>
      </c>
      <c r="F370" s="8" t="s">
        <v>2450</v>
      </c>
      <c r="G370" s="6" t="s">
        <v>123</v>
      </c>
      <c r="H370" s="6" t="s">
        <v>317</v>
      </c>
      <c r="I370" s="8" t="s">
        <v>164</v>
      </c>
      <c r="J370" s="9">
        <v>1</v>
      </c>
      <c r="K370" s="9">
        <v>176</v>
      </c>
      <c r="L370" s="9">
        <v>2023</v>
      </c>
      <c r="M370" s="8" t="s">
        <v>2451</v>
      </c>
      <c r="N370" s="8" t="s">
        <v>41</v>
      </c>
      <c r="O370" s="8" t="s">
        <v>65</v>
      </c>
      <c r="P370" s="6" t="s">
        <v>55</v>
      </c>
      <c r="Q370" s="8" t="s">
        <v>56</v>
      </c>
      <c r="R370" s="10" t="s">
        <v>2445</v>
      </c>
      <c r="S370" s="11"/>
      <c r="T370" s="6"/>
      <c r="U370" s="28" t="str">
        <f>HYPERLINK("https://media.infra-m.ru/1981/1981599/cover/1981599.jpg", "Обложка")</f>
        <v>Обложка</v>
      </c>
      <c r="V370" s="28" t="str">
        <f>HYPERLINK("https://znanium.ru/catalog/product/1540698", "Ознакомиться")</f>
        <v>Ознакомиться</v>
      </c>
      <c r="W370" s="8"/>
      <c r="X370" s="6"/>
      <c r="Y370" s="6"/>
      <c r="Z370" s="6"/>
      <c r="AA370" s="6" t="s">
        <v>364</v>
      </c>
    </row>
    <row r="371" spans="1:27" s="4" customFormat="1" ht="51.95" customHeight="1">
      <c r="A371" s="5">
        <v>0</v>
      </c>
      <c r="B371" s="6" t="s">
        <v>2452</v>
      </c>
      <c r="C371" s="7">
        <v>2094.9</v>
      </c>
      <c r="D371" s="8" t="s">
        <v>2453</v>
      </c>
      <c r="E371" s="8" t="s">
        <v>2454</v>
      </c>
      <c r="F371" s="8" t="s">
        <v>2455</v>
      </c>
      <c r="G371" s="6" t="s">
        <v>123</v>
      </c>
      <c r="H371" s="6" t="s">
        <v>38</v>
      </c>
      <c r="I371" s="8" t="s">
        <v>164</v>
      </c>
      <c r="J371" s="9">
        <v>1</v>
      </c>
      <c r="K371" s="9">
        <v>464</v>
      </c>
      <c r="L371" s="9">
        <v>2023</v>
      </c>
      <c r="M371" s="8" t="s">
        <v>2456</v>
      </c>
      <c r="N371" s="8" t="s">
        <v>41</v>
      </c>
      <c r="O371" s="8" t="s">
        <v>65</v>
      </c>
      <c r="P371" s="6" t="s">
        <v>176</v>
      </c>
      <c r="Q371" s="8" t="s">
        <v>56</v>
      </c>
      <c r="R371" s="10" t="s">
        <v>2457</v>
      </c>
      <c r="S371" s="11" t="s">
        <v>2458</v>
      </c>
      <c r="T371" s="6"/>
      <c r="U371" s="28" t="str">
        <f>HYPERLINK("https://media.infra-m.ru/1916/1916412/cover/1916412.jpg", "Обложка")</f>
        <v>Обложка</v>
      </c>
      <c r="V371" s="28" t="str">
        <f>HYPERLINK("https://znanium.ru/catalog/product/1916412", "Ознакомиться")</f>
        <v>Ознакомиться</v>
      </c>
      <c r="W371" s="8" t="s">
        <v>448</v>
      </c>
      <c r="X371" s="6"/>
      <c r="Y371" s="6"/>
      <c r="Z371" s="6"/>
      <c r="AA371" s="6" t="s">
        <v>306</v>
      </c>
    </row>
    <row r="372" spans="1:27" s="4" customFormat="1" ht="44.1" customHeight="1">
      <c r="A372" s="5">
        <v>0</v>
      </c>
      <c r="B372" s="6" t="s">
        <v>2459</v>
      </c>
      <c r="C372" s="7">
        <v>2594</v>
      </c>
      <c r="D372" s="8" t="s">
        <v>2460</v>
      </c>
      <c r="E372" s="8" t="s">
        <v>2461</v>
      </c>
      <c r="F372" s="8" t="s">
        <v>2462</v>
      </c>
      <c r="G372" s="6" t="s">
        <v>123</v>
      </c>
      <c r="H372" s="6" t="s">
        <v>618</v>
      </c>
      <c r="I372" s="8"/>
      <c r="J372" s="9">
        <v>1</v>
      </c>
      <c r="K372" s="9">
        <v>1104</v>
      </c>
      <c r="L372" s="9">
        <v>2024</v>
      </c>
      <c r="M372" s="8" t="s">
        <v>2463</v>
      </c>
      <c r="N372" s="8" t="s">
        <v>41</v>
      </c>
      <c r="O372" s="8" t="s">
        <v>65</v>
      </c>
      <c r="P372" s="6" t="s">
        <v>176</v>
      </c>
      <c r="Q372" s="8" t="s">
        <v>56</v>
      </c>
      <c r="R372" s="10" t="s">
        <v>428</v>
      </c>
      <c r="S372" s="11"/>
      <c r="T372" s="6"/>
      <c r="U372" s="28" t="str">
        <f>HYPERLINK("https://media.infra-m.ru/2133/2133781/cover/2133781.jpg", "Обложка")</f>
        <v>Обложка</v>
      </c>
      <c r="V372" s="28" t="str">
        <f>HYPERLINK("https://znanium.ru/catalog/product/2133781", "Ознакомиться")</f>
        <v>Ознакомиться</v>
      </c>
      <c r="W372" s="8" t="s">
        <v>1028</v>
      </c>
      <c r="X372" s="6"/>
      <c r="Y372" s="6"/>
      <c r="Z372" s="6"/>
      <c r="AA372" s="6" t="s">
        <v>274</v>
      </c>
    </row>
    <row r="373" spans="1:27" s="4" customFormat="1" ht="51.95" customHeight="1">
      <c r="A373" s="5">
        <v>0</v>
      </c>
      <c r="B373" s="6" t="s">
        <v>2464</v>
      </c>
      <c r="C373" s="13">
        <v>970</v>
      </c>
      <c r="D373" s="8" t="s">
        <v>2465</v>
      </c>
      <c r="E373" s="8" t="s">
        <v>2461</v>
      </c>
      <c r="F373" s="8" t="s">
        <v>1721</v>
      </c>
      <c r="G373" s="6" t="s">
        <v>83</v>
      </c>
      <c r="H373" s="6" t="s">
        <v>38</v>
      </c>
      <c r="I373" s="8" t="s">
        <v>164</v>
      </c>
      <c r="J373" s="9">
        <v>1</v>
      </c>
      <c r="K373" s="9">
        <v>284</v>
      </c>
      <c r="L373" s="9">
        <v>2020</v>
      </c>
      <c r="M373" s="8" t="s">
        <v>2466</v>
      </c>
      <c r="N373" s="8" t="s">
        <v>41</v>
      </c>
      <c r="O373" s="8" t="s">
        <v>65</v>
      </c>
      <c r="P373" s="6" t="s">
        <v>55</v>
      </c>
      <c r="Q373" s="8" t="s">
        <v>56</v>
      </c>
      <c r="R373" s="10" t="s">
        <v>2467</v>
      </c>
      <c r="S373" s="11" t="s">
        <v>2468</v>
      </c>
      <c r="T373" s="6" t="s">
        <v>190</v>
      </c>
      <c r="U373" s="28" t="str">
        <f>HYPERLINK("https://media.infra-m.ru/1079/1079880/cover/1079880.jpg", "Обложка")</f>
        <v>Обложка</v>
      </c>
      <c r="V373" s="28" t="str">
        <f>HYPERLINK("https://znanium.ru/catalog/product/1079880", "Ознакомиться")</f>
        <v>Ознакомиться</v>
      </c>
      <c r="W373" s="8" t="s">
        <v>1028</v>
      </c>
      <c r="X373" s="6"/>
      <c r="Y373" s="6"/>
      <c r="Z373" s="6"/>
      <c r="AA373" s="6" t="s">
        <v>364</v>
      </c>
    </row>
    <row r="374" spans="1:27" s="4" customFormat="1" ht="42" customHeight="1">
      <c r="A374" s="5">
        <v>0</v>
      </c>
      <c r="B374" s="6" t="s">
        <v>2469</v>
      </c>
      <c r="C374" s="13">
        <v>794.9</v>
      </c>
      <c r="D374" s="8" t="s">
        <v>2470</v>
      </c>
      <c r="E374" s="8" t="s">
        <v>2471</v>
      </c>
      <c r="F374" s="8" t="s">
        <v>2472</v>
      </c>
      <c r="G374" s="6" t="s">
        <v>123</v>
      </c>
      <c r="H374" s="6" t="s">
        <v>38</v>
      </c>
      <c r="I374" s="8"/>
      <c r="J374" s="9">
        <v>1</v>
      </c>
      <c r="K374" s="9">
        <v>269</v>
      </c>
      <c r="L374" s="9">
        <v>2019</v>
      </c>
      <c r="M374" s="8" t="s">
        <v>2473</v>
      </c>
      <c r="N374" s="8" t="s">
        <v>41</v>
      </c>
      <c r="O374" s="8" t="s">
        <v>42</v>
      </c>
      <c r="P374" s="6" t="s">
        <v>55</v>
      </c>
      <c r="Q374" s="8" t="s">
        <v>56</v>
      </c>
      <c r="R374" s="10" t="s">
        <v>2083</v>
      </c>
      <c r="S374" s="11"/>
      <c r="T374" s="6" t="s">
        <v>190</v>
      </c>
      <c r="U374" s="28" t="str">
        <f>HYPERLINK("https://media.infra-m.ru/1008/1008023/cover/1008023.jpg", "Обложка")</f>
        <v>Обложка</v>
      </c>
      <c r="V374" s="28" t="str">
        <f>HYPERLINK("https://znanium.ru/catalog/product/1008023", "Ознакомиться")</f>
        <v>Ознакомиться</v>
      </c>
      <c r="W374" s="8" t="s">
        <v>2474</v>
      </c>
      <c r="X374" s="6"/>
      <c r="Y374" s="6"/>
      <c r="Z374" s="6"/>
      <c r="AA374" s="6" t="s">
        <v>381</v>
      </c>
    </row>
    <row r="375" spans="1:27" s="4" customFormat="1" ht="51.95" customHeight="1">
      <c r="A375" s="5">
        <v>0</v>
      </c>
      <c r="B375" s="6" t="s">
        <v>2475</v>
      </c>
      <c r="C375" s="7">
        <v>1154.9000000000001</v>
      </c>
      <c r="D375" s="8" t="s">
        <v>2476</v>
      </c>
      <c r="E375" s="8" t="s">
        <v>2477</v>
      </c>
      <c r="F375" s="8" t="s">
        <v>2478</v>
      </c>
      <c r="G375" s="6" t="s">
        <v>123</v>
      </c>
      <c r="H375" s="6" t="s">
        <v>470</v>
      </c>
      <c r="I375" s="8"/>
      <c r="J375" s="9">
        <v>1</v>
      </c>
      <c r="K375" s="9">
        <v>304</v>
      </c>
      <c r="L375" s="9">
        <v>2022</v>
      </c>
      <c r="M375" s="8" t="s">
        <v>2479</v>
      </c>
      <c r="N375" s="8" t="s">
        <v>74</v>
      </c>
      <c r="O375" s="8" t="s">
        <v>93</v>
      </c>
      <c r="P375" s="6" t="s">
        <v>55</v>
      </c>
      <c r="Q375" s="8" t="s">
        <v>56</v>
      </c>
      <c r="R375" s="10" t="s">
        <v>2123</v>
      </c>
      <c r="S375" s="11" t="s">
        <v>2480</v>
      </c>
      <c r="T375" s="6"/>
      <c r="U375" s="28" t="str">
        <f>HYPERLINK("https://media.infra-m.ru/1841/1841689/cover/1841689.jpg", "Обложка")</f>
        <v>Обложка</v>
      </c>
      <c r="V375" s="28" t="str">
        <f>HYPERLINK("https://znanium.ru/catalog/product/1069143", "Ознакомиться")</f>
        <v>Ознакомиться</v>
      </c>
      <c r="W375" s="8" t="s">
        <v>1771</v>
      </c>
      <c r="X375" s="6"/>
      <c r="Y375" s="6"/>
      <c r="Z375" s="6"/>
      <c r="AA375" s="6" t="s">
        <v>96</v>
      </c>
    </row>
    <row r="376" spans="1:27" s="4" customFormat="1" ht="44.1" customHeight="1">
      <c r="A376" s="5">
        <v>0</v>
      </c>
      <c r="B376" s="6" t="s">
        <v>2481</v>
      </c>
      <c r="C376" s="13">
        <v>994</v>
      </c>
      <c r="D376" s="8" t="s">
        <v>2482</v>
      </c>
      <c r="E376" s="8" t="s">
        <v>2483</v>
      </c>
      <c r="F376" s="8" t="s">
        <v>2484</v>
      </c>
      <c r="G376" s="6" t="s">
        <v>123</v>
      </c>
      <c r="H376" s="6" t="s">
        <v>38</v>
      </c>
      <c r="I376" s="8" t="s">
        <v>884</v>
      </c>
      <c r="J376" s="9">
        <v>1</v>
      </c>
      <c r="K376" s="9">
        <v>217</v>
      </c>
      <c r="L376" s="9">
        <v>2024</v>
      </c>
      <c r="M376" s="8" t="s">
        <v>2485</v>
      </c>
      <c r="N376" s="8" t="s">
        <v>74</v>
      </c>
      <c r="O376" s="8" t="s">
        <v>93</v>
      </c>
      <c r="P376" s="6" t="s">
        <v>55</v>
      </c>
      <c r="Q376" s="8" t="s">
        <v>594</v>
      </c>
      <c r="R376" s="10" t="s">
        <v>2486</v>
      </c>
      <c r="S376" s="11"/>
      <c r="T376" s="6"/>
      <c r="U376" s="28" t="str">
        <f>HYPERLINK("https://media.infra-m.ru/2091/2091931/cover/2091931.jpg", "Обложка")</f>
        <v>Обложка</v>
      </c>
      <c r="V376" s="28" t="str">
        <f>HYPERLINK("https://znanium.ru/catalog/product/1069145", "Ознакомиться")</f>
        <v>Ознакомиться</v>
      </c>
      <c r="W376" s="8" t="s">
        <v>1028</v>
      </c>
      <c r="X376" s="6"/>
      <c r="Y376" s="6"/>
      <c r="Z376" s="6"/>
      <c r="AA376" s="6" t="s">
        <v>290</v>
      </c>
    </row>
    <row r="377" spans="1:27" s="4" customFormat="1" ht="51.95" customHeight="1">
      <c r="A377" s="5">
        <v>0</v>
      </c>
      <c r="B377" s="6" t="s">
        <v>2487</v>
      </c>
      <c r="C377" s="7">
        <v>1584</v>
      </c>
      <c r="D377" s="8" t="s">
        <v>2488</v>
      </c>
      <c r="E377" s="8" t="s">
        <v>2489</v>
      </c>
      <c r="F377" s="8" t="s">
        <v>2490</v>
      </c>
      <c r="G377" s="6" t="s">
        <v>123</v>
      </c>
      <c r="H377" s="6" t="s">
        <v>934</v>
      </c>
      <c r="I377" s="8" t="s">
        <v>155</v>
      </c>
      <c r="J377" s="9">
        <v>1</v>
      </c>
      <c r="K377" s="9">
        <v>336</v>
      </c>
      <c r="L377" s="9">
        <v>2024</v>
      </c>
      <c r="M377" s="8" t="s">
        <v>2491</v>
      </c>
      <c r="N377" s="8" t="s">
        <v>74</v>
      </c>
      <c r="O377" s="8" t="s">
        <v>93</v>
      </c>
      <c r="P377" s="6" t="s">
        <v>176</v>
      </c>
      <c r="Q377" s="8" t="s">
        <v>56</v>
      </c>
      <c r="R377" s="10" t="s">
        <v>2123</v>
      </c>
      <c r="S377" s="11"/>
      <c r="T377" s="6"/>
      <c r="U377" s="28" t="str">
        <f>HYPERLINK("https://media.infra-m.ru/2059/2059576/cover/2059576.jpg", "Обложка")</f>
        <v>Обложка</v>
      </c>
      <c r="V377" s="28" t="str">
        <f>HYPERLINK("https://znanium.ru/catalog/product/933911", "Ознакомиться")</f>
        <v>Ознакомиться</v>
      </c>
      <c r="W377" s="8" t="s">
        <v>355</v>
      </c>
      <c r="X377" s="6"/>
      <c r="Y377" s="6"/>
      <c r="Z377" s="6"/>
      <c r="AA377" s="6" t="s">
        <v>47</v>
      </c>
    </row>
    <row r="378" spans="1:27" s="4" customFormat="1" ht="51.95" customHeight="1">
      <c r="A378" s="5">
        <v>0</v>
      </c>
      <c r="B378" s="6" t="s">
        <v>2492</v>
      </c>
      <c r="C378" s="7">
        <v>1794</v>
      </c>
      <c r="D378" s="8" t="s">
        <v>2493</v>
      </c>
      <c r="E378" s="8" t="s">
        <v>2494</v>
      </c>
      <c r="F378" s="8" t="s">
        <v>1109</v>
      </c>
      <c r="G378" s="6" t="s">
        <v>123</v>
      </c>
      <c r="H378" s="6" t="s">
        <v>38</v>
      </c>
      <c r="I378" s="8" t="s">
        <v>164</v>
      </c>
      <c r="J378" s="9">
        <v>1</v>
      </c>
      <c r="K378" s="9">
        <v>379</v>
      </c>
      <c r="L378" s="9">
        <v>2024</v>
      </c>
      <c r="M378" s="8" t="s">
        <v>2495</v>
      </c>
      <c r="N378" s="8" t="s">
        <v>74</v>
      </c>
      <c r="O378" s="8" t="s">
        <v>93</v>
      </c>
      <c r="P378" s="6" t="s">
        <v>55</v>
      </c>
      <c r="Q378" s="8" t="s">
        <v>56</v>
      </c>
      <c r="R378" s="10" t="s">
        <v>1076</v>
      </c>
      <c r="S378" s="11" t="s">
        <v>2496</v>
      </c>
      <c r="T378" s="6"/>
      <c r="U378" s="28" t="str">
        <f>HYPERLINK("https://media.infra-m.ru/2122/2122062/cover/2122062.jpg", "Обложка")</f>
        <v>Обложка</v>
      </c>
      <c r="V378" s="28" t="str">
        <f>HYPERLINK("https://znanium.ru/catalog/product/1864092", "Ознакомиться")</f>
        <v>Ознакомиться</v>
      </c>
      <c r="W378" s="8" t="s">
        <v>1111</v>
      </c>
      <c r="X378" s="6"/>
      <c r="Y378" s="6"/>
      <c r="Z378" s="6"/>
      <c r="AA378" s="6" t="s">
        <v>2497</v>
      </c>
    </row>
    <row r="379" spans="1:27" s="4" customFormat="1" ht="33" customHeight="1">
      <c r="A379" s="5">
        <v>0</v>
      </c>
      <c r="B379" s="6" t="s">
        <v>2498</v>
      </c>
      <c r="C379" s="13">
        <v>726</v>
      </c>
      <c r="D379" s="8" t="s">
        <v>2499</v>
      </c>
      <c r="E379" s="8" t="s">
        <v>2500</v>
      </c>
      <c r="F379" s="8" t="s">
        <v>2501</v>
      </c>
      <c r="G379" s="6" t="s">
        <v>360</v>
      </c>
      <c r="H379" s="6" t="s">
        <v>2502</v>
      </c>
      <c r="I379" s="8" t="s">
        <v>2503</v>
      </c>
      <c r="J379" s="9">
        <v>6</v>
      </c>
      <c r="K379" s="9">
        <v>832</v>
      </c>
      <c r="L379" s="9">
        <v>2015</v>
      </c>
      <c r="M379" s="8" t="s">
        <v>2504</v>
      </c>
      <c r="N379" s="8" t="s">
        <v>41</v>
      </c>
      <c r="O379" s="8" t="s">
        <v>42</v>
      </c>
      <c r="P379" s="6" t="s">
        <v>1300</v>
      </c>
      <c r="Q379" s="8" t="s">
        <v>44</v>
      </c>
      <c r="R379" s="10"/>
      <c r="S379" s="11"/>
      <c r="T379" s="6"/>
      <c r="U379" s="12"/>
      <c r="V379" s="12"/>
      <c r="W379" s="8" t="s">
        <v>273</v>
      </c>
      <c r="X379" s="6"/>
      <c r="Y379" s="6"/>
      <c r="Z379" s="6"/>
      <c r="AA379" s="6" t="s">
        <v>381</v>
      </c>
    </row>
    <row r="380" spans="1:27" s="4" customFormat="1" ht="51.95" customHeight="1">
      <c r="A380" s="5">
        <v>0</v>
      </c>
      <c r="B380" s="6" t="s">
        <v>2505</v>
      </c>
      <c r="C380" s="7">
        <v>3094</v>
      </c>
      <c r="D380" s="8" t="s">
        <v>2506</v>
      </c>
      <c r="E380" s="8" t="s">
        <v>2507</v>
      </c>
      <c r="F380" s="8" t="s">
        <v>1893</v>
      </c>
      <c r="G380" s="6" t="s">
        <v>123</v>
      </c>
      <c r="H380" s="6" t="s">
        <v>38</v>
      </c>
      <c r="I380" s="8" t="s">
        <v>884</v>
      </c>
      <c r="J380" s="9">
        <v>1</v>
      </c>
      <c r="K380" s="9">
        <v>692</v>
      </c>
      <c r="L380" s="9">
        <v>2023</v>
      </c>
      <c r="M380" s="8" t="s">
        <v>2508</v>
      </c>
      <c r="N380" s="8" t="s">
        <v>74</v>
      </c>
      <c r="O380" s="8" t="s">
        <v>93</v>
      </c>
      <c r="P380" s="6" t="s">
        <v>176</v>
      </c>
      <c r="Q380" s="8" t="s">
        <v>594</v>
      </c>
      <c r="R380" s="10" t="s">
        <v>2509</v>
      </c>
      <c r="S380" s="11" t="s">
        <v>2510</v>
      </c>
      <c r="T380" s="6"/>
      <c r="U380" s="28" t="str">
        <f>HYPERLINK("https://media.infra-m.ru/2062/2062461/cover/2062461.jpg", "Обложка")</f>
        <v>Обложка</v>
      </c>
      <c r="V380" s="28" t="str">
        <f>HYPERLINK("https://znanium.ru/catalog/product/1991887", "Ознакомиться")</f>
        <v>Ознакомиться</v>
      </c>
      <c r="W380" s="8" t="s">
        <v>355</v>
      </c>
      <c r="X380" s="6"/>
      <c r="Y380" s="6"/>
      <c r="Z380" s="6"/>
      <c r="AA380" s="6" t="s">
        <v>103</v>
      </c>
    </row>
    <row r="381" spans="1:27" s="4" customFormat="1" ht="42" customHeight="1">
      <c r="A381" s="5">
        <v>0</v>
      </c>
      <c r="B381" s="6" t="s">
        <v>2511</v>
      </c>
      <c r="C381" s="7">
        <v>1300</v>
      </c>
      <c r="D381" s="8" t="s">
        <v>2512</v>
      </c>
      <c r="E381" s="8" t="s">
        <v>2513</v>
      </c>
      <c r="F381" s="8" t="s">
        <v>2514</v>
      </c>
      <c r="G381" s="6" t="s">
        <v>83</v>
      </c>
      <c r="H381" s="6" t="s">
        <v>317</v>
      </c>
      <c r="I381" s="8" t="s">
        <v>155</v>
      </c>
      <c r="J381" s="9">
        <v>1</v>
      </c>
      <c r="K381" s="9">
        <v>276</v>
      </c>
      <c r="L381" s="9">
        <v>2024</v>
      </c>
      <c r="M381" s="8" t="s">
        <v>2515</v>
      </c>
      <c r="N381" s="8" t="s">
        <v>41</v>
      </c>
      <c r="O381" s="8" t="s">
        <v>42</v>
      </c>
      <c r="P381" s="6" t="s">
        <v>176</v>
      </c>
      <c r="Q381" s="8" t="s">
        <v>56</v>
      </c>
      <c r="R381" s="10" t="s">
        <v>2516</v>
      </c>
      <c r="S381" s="11"/>
      <c r="T381" s="6"/>
      <c r="U381" s="28" t="str">
        <f>HYPERLINK("https://media.infra-m.ru/2125/2125412/cover/2125412.jpg", "Обложка")</f>
        <v>Обложка</v>
      </c>
      <c r="V381" s="28" t="str">
        <f>HYPERLINK("https://znanium.ru/catalog/product/2125412", "Ознакомиться")</f>
        <v>Ознакомиться</v>
      </c>
      <c r="W381" s="8" t="s">
        <v>2144</v>
      </c>
      <c r="X381" s="6"/>
      <c r="Y381" s="6"/>
      <c r="Z381" s="6"/>
      <c r="AA381" s="6" t="s">
        <v>141</v>
      </c>
    </row>
    <row r="382" spans="1:27" s="4" customFormat="1" ht="42" customHeight="1">
      <c r="A382" s="5">
        <v>0</v>
      </c>
      <c r="B382" s="6" t="s">
        <v>2517</v>
      </c>
      <c r="C382" s="7">
        <v>1294</v>
      </c>
      <c r="D382" s="8" t="s">
        <v>2518</v>
      </c>
      <c r="E382" s="8" t="s">
        <v>2519</v>
      </c>
      <c r="F382" s="8" t="s">
        <v>2514</v>
      </c>
      <c r="G382" s="6" t="s">
        <v>83</v>
      </c>
      <c r="H382" s="6" t="s">
        <v>317</v>
      </c>
      <c r="I382" s="8" t="s">
        <v>492</v>
      </c>
      <c r="J382" s="9">
        <v>1</v>
      </c>
      <c r="K382" s="9">
        <v>276</v>
      </c>
      <c r="L382" s="9">
        <v>2024</v>
      </c>
      <c r="M382" s="8" t="s">
        <v>2520</v>
      </c>
      <c r="N382" s="8" t="s">
        <v>41</v>
      </c>
      <c r="O382" s="8" t="s">
        <v>42</v>
      </c>
      <c r="P382" s="6" t="s">
        <v>176</v>
      </c>
      <c r="Q382" s="8" t="s">
        <v>207</v>
      </c>
      <c r="R382" s="10" t="s">
        <v>2521</v>
      </c>
      <c r="S382" s="11"/>
      <c r="T382" s="6"/>
      <c r="U382" s="28" t="str">
        <f>HYPERLINK("https://media.infra-m.ru/2152/2152180/cover/2152180.jpg", "Обложка")</f>
        <v>Обложка</v>
      </c>
      <c r="V382" s="28" t="str">
        <f>HYPERLINK("https://znanium.ru/catalog/product/1247109", "Ознакомиться")</f>
        <v>Ознакомиться</v>
      </c>
      <c r="W382" s="8" t="s">
        <v>2144</v>
      </c>
      <c r="X382" s="6"/>
      <c r="Y382" s="6"/>
      <c r="Z382" s="6" t="s">
        <v>235</v>
      </c>
      <c r="AA382" s="6" t="s">
        <v>141</v>
      </c>
    </row>
    <row r="383" spans="1:27" s="4" customFormat="1" ht="51.95" customHeight="1">
      <c r="A383" s="5">
        <v>0</v>
      </c>
      <c r="B383" s="6" t="s">
        <v>2522</v>
      </c>
      <c r="C383" s="7">
        <v>2530</v>
      </c>
      <c r="D383" s="8" t="s">
        <v>2523</v>
      </c>
      <c r="E383" s="8" t="s">
        <v>2524</v>
      </c>
      <c r="F383" s="8" t="s">
        <v>2525</v>
      </c>
      <c r="G383" s="6" t="s">
        <v>123</v>
      </c>
      <c r="H383" s="6" t="s">
        <v>38</v>
      </c>
      <c r="I383" s="8" t="s">
        <v>205</v>
      </c>
      <c r="J383" s="9">
        <v>1</v>
      </c>
      <c r="K383" s="9">
        <v>550</v>
      </c>
      <c r="L383" s="9">
        <v>2024</v>
      </c>
      <c r="M383" s="8" t="s">
        <v>2526</v>
      </c>
      <c r="N383" s="8" t="s">
        <v>41</v>
      </c>
      <c r="O383" s="8" t="s">
        <v>42</v>
      </c>
      <c r="P383" s="6" t="s">
        <v>55</v>
      </c>
      <c r="Q383" s="8" t="s">
        <v>207</v>
      </c>
      <c r="R383" s="10" t="s">
        <v>2527</v>
      </c>
      <c r="S383" s="11" t="s">
        <v>2528</v>
      </c>
      <c r="T383" s="6"/>
      <c r="U383" s="28" t="str">
        <f>HYPERLINK("https://media.infra-m.ru/2104/2104821/cover/2104821.jpg", "Обложка")</f>
        <v>Обложка</v>
      </c>
      <c r="V383" s="28" t="str">
        <f>HYPERLINK("https://znanium.ru/catalog/product/2104821", "Ознакомиться")</f>
        <v>Ознакомиться</v>
      </c>
      <c r="W383" s="8" t="s">
        <v>1437</v>
      </c>
      <c r="X383" s="6"/>
      <c r="Y383" s="6"/>
      <c r="Z383" s="6"/>
      <c r="AA383" s="6" t="s">
        <v>1006</v>
      </c>
    </row>
    <row r="384" spans="1:27" s="4" customFormat="1" ht="51.95" customHeight="1">
      <c r="A384" s="5">
        <v>0</v>
      </c>
      <c r="B384" s="6" t="s">
        <v>2529</v>
      </c>
      <c r="C384" s="7">
        <v>2900</v>
      </c>
      <c r="D384" s="8" t="s">
        <v>2530</v>
      </c>
      <c r="E384" s="8" t="s">
        <v>2519</v>
      </c>
      <c r="F384" s="8" t="s">
        <v>2531</v>
      </c>
      <c r="G384" s="6" t="s">
        <v>123</v>
      </c>
      <c r="H384" s="6" t="s">
        <v>38</v>
      </c>
      <c r="I384" s="8" t="s">
        <v>205</v>
      </c>
      <c r="J384" s="9">
        <v>1</v>
      </c>
      <c r="K384" s="9">
        <v>649</v>
      </c>
      <c r="L384" s="9">
        <v>2024</v>
      </c>
      <c r="M384" s="8" t="s">
        <v>2532</v>
      </c>
      <c r="N384" s="8" t="s">
        <v>41</v>
      </c>
      <c r="O384" s="8" t="s">
        <v>42</v>
      </c>
      <c r="P384" s="6" t="s">
        <v>55</v>
      </c>
      <c r="Q384" s="8" t="s">
        <v>207</v>
      </c>
      <c r="R384" s="10" t="s">
        <v>2533</v>
      </c>
      <c r="S384" s="11" t="s">
        <v>2534</v>
      </c>
      <c r="T384" s="6"/>
      <c r="U384" s="28" t="str">
        <f>HYPERLINK("https://media.infra-m.ru/2102/2102651/cover/2102651.jpg", "Обложка")</f>
        <v>Обложка</v>
      </c>
      <c r="V384" s="28" t="str">
        <f>HYPERLINK("https://znanium.ru/catalog/product/2102651", "Ознакомиться")</f>
        <v>Ознакомиться</v>
      </c>
      <c r="W384" s="8" t="s">
        <v>2535</v>
      </c>
      <c r="X384" s="6"/>
      <c r="Y384" s="6"/>
      <c r="Z384" s="6"/>
      <c r="AA384" s="6" t="s">
        <v>193</v>
      </c>
    </row>
    <row r="385" spans="1:27" s="4" customFormat="1" ht="51.95" customHeight="1">
      <c r="A385" s="5">
        <v>0</v>
      </c>
      <c r="B385" s="6" t="s">
        <v>2536</v>
      </c>
      <c r="C385" s="7">
        <v>1790</v>
      </c>
      <c r="D385" s="8" t="s">
        <v>2537</v>
      </c>
      <c r="E385" s="8" t="s">
        <v>2519</v>
      </c>
      <c r="F385" s="8" t="s">
        <v>2538</v>
      </c>
      <c r="G385" s="6" t="s">
        <v>83</v>
      </c>
      <c r="H385" s="6" t="s">
        <v>38</v>
      </c>
      <c r="I385" s="8" t="s">
        <v>205</v>
      </c>
      <c r="J385" s="9">
        <v>1</v>
      </c>
      <c r="K385" s="9">
        <v>528</v>
      </c>
      <c r="L385" s="9">
        <v>2020</v>
      </c>
      <c r="M385" s="8" t="s">
        <v>2539</v>
      </c>
      <c r="N385" s="8" t="s">
        <v>41</v>
      </c>
      <c r="O385" s="8" t="s">
        <v>42</v>
      </c>
      <c r="P385" s="6" t="s">
        <v>55</v>
      </c>
      <c r="Q385" s="8" t="s">
        <v>207</v>
      </c>
      <c r="R385" s="10" t="s">
        <v>2527</v>
      </c>
      <c r="S385" s="11" t="s">
        <v>2540</v>
      </c>
      <c r="T385" s="6"/>
      <c r="U385" s="28" t="str">
        <f>HYPERLINK("https://media.infra-m.ru/1060/1060624/cover/1060624.jpg", "Обложка")</f>
        <v>Обложка</v>
      </c>
      <c r="V385" s="28" t="str">
        <f>HYPERLINK("https://znanium.ru/catalog/product/2104821", "Ознакомиться")</f>
        <v>Ознакомиться</v>
      </c>
      <c r="W385" s="8" t="s">
        <v>200</v>
      </c>
      <c r="X385" s="6"/>
      <c r="Y385" s="6"/>
      <c r="Z385" s="6"/>
      <c r="AA385" s="6" t="s">
        <v>47</v>
      </c>
    </row>
    <row r="386" spans="1:27" s="4" customFormat="1" ht="42" customHeight="1">
      <c r="A386" s="5">
        <v>0</v>
      </c>
      <c r="B386" s="6" t="s">
        <v>2541</v>
      </c>
      <c r="C386" s="7">
        <v>1124</v>
      </c>
      <c r="D386" s="8" t="s">
        <v>2542</v>
      </c>
      <c r="E386" s="8" t="s">
        <v>2519</v>
      </c>
      <c r="F386" s="8" t="s">
        <v>2450</v>
      </c>
      <c r="G386" s="6" t="s">
        <v>123</v>
      </c>
      <c r="H386" s="6" t="s">
        <v>317</v>
      </c>
      <c r="I386" s="8" t="s">
        <v>492</v>
      </c>
      <c r="J386" s="9">
        <v>1</v>
      </c>
      <c r="K386" s="9">
        <v>248</v>
      </c>
      <c r="L386" s="9">
        <v>2023</v>
      </c>
      <c r="M386" s="8" t="s">
        <v>2543</v>
      </c>
      <c r="N386" s="8" t="s">
        <v>41</v>
      </c>
      <c r="O386" s="8" t="s">
        <v>42</v>
      </c>
      <c r="P386" s="6" t="s">
        <v>55</v>
      </c>
      <c r="Q386" s="8" t="s">
        <v>56</v>
      </c>
      <c r="R386" s="10" t="s">
        <v>2293</v>
      </c>
      <c r="S386" s="11"/>
      <c r="T386" s="6"/>
      <c r="U386" s="28" t="str">
        <f>HYPERLINK("https://media.infra-m.ru/2000/2000790/cover/2000790.jpg", "Обложка")</f>
        <v>Обложка</v>
      </c>
      <c r="V386" s="28" t="str">
        <f>HYPERLINK("https://znanium.ru/catalog/product/1082915", "Ознакомиться")</f>
        <v>Ознакомиться</v>
      </c>
      <c r="W386" s="8"/>
      <c r="X386" s="6"/>
      <c r="Y386" s="6"/>
      <c r="Z386" s="6"/>
      <c r="AA386" s="6" t="s">
        <v>650</v>
      </c>
    </row>
    <row r="387" spans="1:27" s="4" customFormat="1" ht="42" customHeight="1">
      <c r="A387" s="5">
        <v>0</v>
      </c>
      <c r="B387" s="6" t="s">
        <v>2544</v>
      </c>
      <c r="C387" s="7">
        <v>1330</v>
      </c>
      <c r="D387" s="8" t="s">
        <v>2545</v>
      </c>
      <c r="E387" s="8" t="s">
        <v>2546</v>
      </c>
      <c r="F387" s="8" t="s">
        <v>1102</v>
      </c>
      <c r="G387" s="6" t="s">
        <v>83</v>
      </c>
      <c r="H387" s="6" t="s">
        <v>38</v>
      </c>
      <c r="I387" s="8" t="s">
        <v>39</v>
      </c>
      <c r="J387" s="9">
        <v>1</v>
      </c>
      <c r="K387" s="9">
        <v>341</v>
      </c>
      <c r="L387" s="9">
        <v>2022</v>
      </c>
      <c r="M387" s="8" t="s">
        <v>2547</v>
      </c>
      <c r="N387" s="8" t="s">
        <v>41</v>
      </c>
      <c r="O387" s="8" t="s">
        <v>65</v>
      </c>
      <c r="P387" s="6" t="s">
        <v>43</v>
      </c>
      <c r="Q387" s="8" t="s">
        <v>44</v>
      </c>
      <c r="R387" s="10" t="s">
        <v>415</v>
      </c>
      <c r="S387" s="11"/>
      <c r="T387" s="6"/>
      <c r="U387" s="28" t="str">
        <f>HYPERLINK("https://media.infra-m.ru/1832/1832157/cover/1832157.jpg", "Обложка")</f>
        <v>Обложка</v>
      </c>
      <c r="V387" s="28" t="str">
        <f>HYPERLINK("https://znanium.ru/catalog/product/1832157", "Ознакомиться")</f>
        <v>Ознакомиться</v>
      </c>
      <c r="W387" s="8" t="s">
        <v>1105</v>
      </c>
      <c r="X387" s="6"/>
      <c r="Y387" s="6"/>
      <c r="Z387" s="6"/>
      <c r="AA387" s="6" t="s">
        <v>141</v>
      </c>
    </row>
    <row r="388" spans="1:27" s="4" customFormat="1" ht="51.95" customHeight="1">
      <c r="A388" s="5">
        <v>0</v>
      </c>
      <c r="B388" s="6" t="s">
        <v>2548</v>
      </c>
      <c r="C388" s="7">
        <v>1350</v>
      </c>
      <c r="D388" s="8" t="s">
        <v>2549</v>
      </c>
      <c r="E388" s="8" t="s">
        <v>2550</v>
      </c>
      <c r="F388" s="8" t="s">
        <v>2551</v>
      </c>
      <c r="G388" s="6" t="s">
        <v>83</v>
      </c>
      <c r="H388" s="6" t="s">
        <v>38</v>
      </c>
      <c r="I388" s="8" t="s">
        <v>155</v>
      </c>
      <c r="J388" s="9">
        <v>1</v>
      </c>
      <c r="K388" s="9">
        <v>287</v>
      </c>
      <c r="L388" s="9">
        <v>2024</v>
      </c>
      <c r="M388" s="8" t="s">
        <v>2552</v>
      </c>
      <c r="N388" s="8" t="s">
        <v>41</v>
      </c>
      <c r="O388" s="8" t="s">
        <v>42</v>
      </c>
      <c r="P388" s="6" t="s">
        <v>55</v>
      </c>
      <c r="Q388" s="8" t="s">
        <v>177</v>
      </c>
      <c r="R388" s="10" t="s">
        <v>2553</v>
      </c>
      <c r="S388" s="11" t="s">
        <v>2554</v>
      </c>
      <c r="T388" s="6"/>
      <c r="U388" s="28" t="str">
        <f>HYPERLINK("https://media.infra-m.ru/2139/2139220/cover/2139220.jpg", "Обложка")</f>
        <v>Обложка</v>
      </c>
      <c r="V388" s="28" t="str">
        <f>HYPERLINK("https://znanium.ru/catalog/product/2139220", "Ознакомиться")</f>
        <v>Ознакомиться</v>
      </c>
      <c r="W388" s="8" t="s">
        <v>571</v>
      </c>
      <c r="X388" s="6"/>
      <c r="Y388" s="6"/>
      <c r="Z388" s="6"/>
      <c r="AA388" s="6" t="s">
        <v>47</v>
      </c>
    </row>
    <row r="389" spans="1:27" s="4" customFormat="1" ht="51.95" customHeight="1">
      <c r="A389" s="5">
        <v>0</v>
      </c>
      <c r="B389" s="6" t="s">
        <v>2555</v>
      </c>
      <c r="C389" s="13">
        <v>494</v>
      </c>
      <c r="D389" s="8" t="s">
        <v>2556</v>
      </c>
      <c r="E389" s="8" t="s">
        <v>2557</v>
      </c>
      <c r="F389" s="8" t="s">
        <v>2368</v>
      </c>
      <c r="G389" s="6" t="s">
        <v>37</v>
      </c>
      <c r="H389" s="6" t="s">
        <v>52</v>
      </c>
      <c r="I389" s="8"/>
      <c r="J389" s="9">
        <v>1</v>
      </c>
      <c r="K389" s="9">
        <v>128</v>
      </c>
      <c r="L389" s="9">
        <v>2024</v>
      </c>
      <c r="M389" s="8" t="s">
        <v>2558</v>
      </c>
      <c r="N389" s="8" t="s">
        <v>74</v>
      </c>
      <c r="O389" s="8" t="s">
        <v>1559</v>
      </c>
      <c r="P389" s="6" t="s">
        <v>55</v>
      </c>
      <c r="Q389" s="8" t="s">
        <v>56</v>
      </c>
      <c r="R389" s="10" t="s">
        <v>2559</v>
      </c>
      <c r="S389" s="11"/>
      <c r="T389" s="6"/>
      <c r="U389" s="28" t="str">
        <f>HYPERLINK("https://media.infra-m.ru/2087/2087273/cover/2087273.jpg", "Обложка")</f>
        <v>Обложка</v>
      </c>
      <c r="V389" s="28" t="str">
        <f>HYPERLINK("https://znanium.ru/catalog/product/1255464", "Ознакомиться")</f>
        <v>Ознакомиться</v>
      </c>
      <c r="W389" s="8" t="s">
        <v>969</v>
      </c>
      <c r="X389" s="6"/>
      <c r="Y389" s="6"/>
      <c r="Z389" s="6"/>
      <c r="AA389" s="6" t="s">
        <v>381</v>
      </c>
    </row>
    <row r="390" spans="1:27" s="4" customFormat="1" ht="42" customHeight="1">
      <c r="A390" s="5">
        <v>0</v>
      </c>
      <c r="B390" s="6" t="s">
        <v>2560</v>
      </c>
      <c r="C390" s="7">
        <v>1400</v>
      </c>
      <c r="D390" s="8" t="s">
        <v>2561</v>
      </c>
      <c r="E390" s="8" t="s">
        <v>2562</v>
      </c>
      <c r="F390" s="8" t="s">
        <v>2563</v>
      </c>
      <c r="G390" s="6" t="s">
        <v>83</v>
      </c>
      <c r="H390" s="6" t="s">
        <v>38</v>
      </c>
      <c r="I390" s="8" t="s">
        <v>39</v>
      </c>
      <c r="J390" s="9">
        <v>1</v>
      </c>
      <c r="K390" s="9">
        <v>297</v>
      </c>
      <c r="L390" s="9">
        <v>2024</v>
      </c>
      <c r="M390" s="8" t="s">
        <v>2564</v>
      </c>
      <c r="N390" s="8" t="s">
        <v>41</v>
      </c>
      <c r="O390" s="8" t="s">
        <v>42</v>
      </c>
      <c r="P390" s="6" t="s">
        <v>43</v>
      </c>
      <c r="Q390" s="8" t="s">
        <v>44</v>
      </c>
      <c r="R390" s="10" t="s">
        <v>2565</v>
      </c>
      <c r="S390" s="11"/>
      <c r="T390" s="6"/>
      <c r="U390" s="28" t="str">
        <f>HYPERLINK("https://media.infra-m.ru/2136/2136038/cover/2136038.jpg", "Обложка")</f>
        <v>Обложка</v>
      </c>
      <c r="V390" s="28" t="str">
        <f>HYPERLINK("https://znanium.ru/catalog/product/2136038", "Ознакомиться")</f>
        <v>Ознакомиться</v>
      </c>
      <c r="W390" s="8" t="s">
        <v>2566</v>
      </c>
      <c r="X390" s="6"/>
      <c r="Y390" s="6"/>
      <c r="Z390" s="6"/>
      <c r="AA390" s="6" t="s">
        <v>103</v>
      </c>
    </row>
    <row r="391" spans="1:27" s="4" customFormat="1" ht="51.95" customHeight="1">
      <c r="A391" s="5">
        <v>0</v>
      </c>
      <c r="B391" s="6" t="s">
        <v>2567</v>
      </c>
      <c r="C391" s="13">
        <v>870</v>
      </c>
      <c r="D391" s="8" t="s">
        <v>2568</v>
      </c>
      <c r="E391" s="8" t="s">
        <v>2569</v>
      </c>
      <c r="F391" s="8" t="s">
        <v>2563</v>
      </c>
      <c r="G391" s="6" t="s">
        <v>37</v>
      </c>
      <c r="H391" s="6" t="s">
        <v>38</v>
      </c>
      <c r="I391" s="8" t="s">
        <v>39</v>
      </c>
      <c r="J391" s="9">
        <v>1</v>
      </c>
      <c r="K391" s="9">
        <v>175</v>
      </c>
      <c r="L391" s="9">
        <v>2024</v>
      </c>
      <c r="M391" s="8" t="s">
        <v>2570</v>
      </c>
      <c r="N391" s="8" t="s">
        <v>41</v>
      </c>
      <c r="O391" s="8" t="s">
        <v>65</v>
      </c>
      <c r="P391" s="6" t="s">
        <v>43</v>
      </c>
      <c r="Q391" s="8" t="s">
        <v>44</v>
      </c>
      <c r="R391" s="10" t="s">
        <v>2571</v>
      </c>
      <c r="S391" s="11"/>
      <c r="T391" s="6"/>
      <c r="U391" s="28" t="str">
        <f>HYPERLINK("https://media.infra-m.ru/2136/2136014/cover/2136014.jpg", "Обложка")</f>
        <v>Обложка</v>
      </c>
      <c r="V391" s="28" t="str">
        <f>HYPERLINK("https://znanium.ru/catalog/product/2136014", "Ознакомиться")</f>
        <v>Ознакомиться</v>
      </c>
      <c r="W391" s="8" t="s">
        <v>2566</v>
      </c>
      <c r="X391" s="6"/>
      <c r="Y391" s="6"/>
      <c r="Z391" s="6"/>
      <c r="AA391" s="6" t="s">
        <v>193</v>
      </c>
    </row>
    <row r="392" spans="1:27" s="4" customFormat="1" ht="42" customHeight="1">
      <c r="A392" s="5">
        <v>0</v>
      </c>
      <c r="B392" s="6" t="s">
        <v>2572</v>
      </c>
      <c r="C392" s="7">
        <v>1499</v>
      </c>
      <c r="D392" s="8" t="s">
        <v>2573</v>
      </c>
      <c r="E392" s="8" t="s">
        <v>2574</v>
      </c>
      <c r="F392" s="8" t="s">
        <v>2575</v>
      </c>
      <c r="G392" s="6" t="s">
        <v>37</v>
      </c>
      <c r="H392" s="6" t="s">
        <v>38</v>
      </c>
      <c r="I392" s="8"/>
      <c r="J392" s="9">
        <v>1</v>
      </c>
      <c r="K392" s="9">
        <v>148</v>
      </c>
      <c r="L392" s="9">
        <v>2024</v>
      </c>
      <c r="M392" s="8" t="s">
        <v>2576</v>
      </c>
      <c r="N392" s="8" t="s">
        <v>41</v>
      </c>
      <c r="O392" s="8" t="s">
        <v>54</v>
      </c>
      <c r="P392" s="6" t="s">
        <v>1604</v>
      </c>
      <c r="Q392" s="8" t="s">
        <v>44</v>
      </c>
      <c r="R392" s="10" t="s">
        <v>440</v>
      </c>
      <c r="S392" s="11"/>
      <c r="T392" s="6"/>
      <c r="U392" s="28" t="str">
        <f>HYPERLINK("https://media.infra-m.ru/2085/2085084/cover/2085084.jpg", "Обложка")</f>
        <v>Обложка</v>
      </c>
      <c r="V392" s="28" t="str">
        <f>HYPERLINK("https://znanium.ru/catalog/product/2085084", "Ознакомиться")</f>
        <v>Ознакомиться</v>
      </c>
      <c r="W392" s="8"/>
      <c r="X392" s="6"/>
      <c r="Y392" s="6"/>
      <c r="Z392" s="6"/>
      <c r="AA392" s="6" t="s">
        <v>193</v>
      </c>
    </row>
    <row r="393" spans="1:27" s="4" customFormat="1" ht="51.95" customHeight="1">
      <c r="A393" s="5">
        <v>0</v>
      </c>
      <c r="B393" s="6" t="s">
        <v>2577</v>
      </c>
      <c r="C393" s="13">
        <v>894</v>
      </c>
      <c r="D393" s="8" t="s">
        <v>2578</v>
      </c>
      <c r="E393" s="8" t="s">
        <v>2579</v>
      </c>
      <c r="F393" s="8" t="s">
        <v>2580</v>
      </c>
      <c r="G393" s="6" t="s">
        <v>123</v>
      </c>
      <c r="H393" s="6" t="s">
        <v>618</v>
      </c>
      <c r="I393" s="8"/>
      <c r="J393" s="9">
        <v>1</v>
      </c>
      <c r="K393" s="9">
        <v>184</v>
      </c>
      <c r="L393" s="9">
        <v>2024</v>
      </c>
      <c r="M393" s="8" t="s">
        <v>2581</v>
      </c>
      <c r="N393" s="8" t="s">
        <v>41</v>
      </c>
      <c r="O393" s="8" t="s">
        <v>1299</v>
      </c>
      <c r="P393" s="6" t="s">
        <v>43</v>
      </c>
      <c r="Q393" s="8" t="s">
        <v>44</v>
      </c>
      <c r="R393" s="10" t="s">
        <v>2582</v>
      </c>
      <c r="S393" s="11"/>
      <c r="T393" s="6"/>
      <c r="U393" s="28" t="str">
        <f>HYPERLINK("https://media.infra-m.ru/2129/2129520/cover/2129520.jpg", "Обложка")</f>
        <v>Обложка</v>
      </c>
      <c r="V393" s="28" t="str">
        <f>HYPERLINK("https://znanium.ru/catalog/product/1864981", "Ознакомиться")</f>
        <v>Ознакомиться</v>
      </c>
      <c r="W393" s="8" t="s">
        <v>2583</v>
      </c>
      <c r="X393" s="6"/>
      <c r="Y393" s="6"/>
      <c r="Z393" s="6"/>
      <c r="AA393" s="6" t="s">
        <v>103</v>
      </c>
    </row>
    <row r="394" spans="1:27" s="4" customFormat="1" ht="42" customHeight="1">
      <c r="A394" s="5">
        <v>0</v>
      </c>
      <c r="B394" s="6" t="s">
        <v>2584</v>
      </c>
      <c r="C394" s="13">
        <v>850</v>
      </c>
      <c r="D394" s="8" t="s">
        <v>2585</v>
      </c>
      <c r="E394" s="8" t="s">
        <v>2586</v>
      </c>
      <c r="F394" s="8" t="s">
        <v>2587</v>
      </c>
      <c r="G394" s="6" t="s">
        <v>37</v>
      </c>
      <c r="H394" s="6" t="s">
        <v>38</v>
      </c>
      <c r="I394" s="8" t="s">
        <v>39</v>
      </c>
      <c r="J394" s="9">
        <v>1</v>
      </c>
      <c r="K394" s="9">
        <v>185</v>
      </c>
      <c r="L394" s="9">
        <v>2023</v>
      </c>
      <c r="M394" s="8" t="s">
        <v>2588</v>
      </c>
      <c r="N394" s="8" t="s">
        <v>74</v>
      </c>
      <c r="O394" s="8" t="s">
        <v>394</v>
      </c>
      <c r="P394" s="6" t="s">
        <v>43</v>
      </c>
      <c r="Q394" s="8" t="s">
        <v>44</v>
      </c>
      <c r="R394" s="10" t="s">
        <v>2589</v>
      </c>
      <c r="S394" s="11"/>
      <c r="T394" s="6"/>
      <c r="U394" s="28" t="str">
        <f>HYPERLINK("https://media.infra-m.ru/1905/1905245/cover/1905245.jpg", "Обложка")</f>
        <v>Обложка</v>
      </c>
      <c r="V394" s="28" t="str">
        <f>HYPERLINK("https://znanium.ru/catalog/product/1905245", "Ознакомиться")</f>
        <v>Ознакомиться</v>
      </c>
      <c r="W394" s="8" t="s">
        <v>2590</v>
      </c>
      <c r="X394" s="6"/>
      <c r="Y394" s="6"/>
      <c r="Z394" s="6"/>
      <c r="AA394" s="6" t="s">
        <v>68</v>
      </c>
    </row>
    <row r="395" spans="1:27" s="4" customFormat="1" ht="51.95" customHeight="1">
      <c r="A395" s="5">
        <v>0</v>
      </c>
      <c r="B395" s="6" t="s">
        <v>2591</v>
      </c>
      <c r="C395" s="13">
        <v>550</v>
      </c>
      <c r="D395" s="8" t="s">
        <v>2592</v>
      </c>
      <c r="E395" s="8" t="s">
        <v>2593</v>
      </c>
      <c r="F395" s="8" t="s">
        <v>91</v>
      </c>
      <c r="G395" s="6" t="s">
        <v>37</v>
      </c>
      <c r="H395" s="6" t="s">
        <v>38</v>
      </c>
      <c r="I395" s="8" t="s">
        <v>39</v>
      </c>
      <c r="J395" s="9">
        <v>1</v>
      </c>
      <c r="K395" s="9">
        <v>160</v>
      </c>
      <c r="L395" s="9">
        <v>2019</v>
      </c>
      <c r="M395" s="8" t="s">
        <v>2594</v>
      </c>
      <c r="N395" s="8" t="s">
        <v>74</v>
      </c>
      <c r="O395" s="8" t="s">
        <v>93</v>
      </c>
      <c r="P395" s="6" t="s">
        <v>43</v>
      </c>
      <c r="Q395" s="8" t="s">
        <v>44</v>
      </c>
      <c r="R395" s="10" t="s">
        <v>94</v>
      </c>
      <c r="S395" s="11"/>
      <c r="T395" s="6"/>
      <c r="U395" s="28" t="str">
        <f>HYPERLINK("https://media.infra-m.ru/1009/1009563/cover/1009563.jpg", "Обложка")</f>
        <v>Обложка</v>
      </c>
      <c r="V395" s="28" t="str">
        <f>HYPERLINK("https://znanium.ru/catalog/product/1009563", "Ознакомиться")</f>
        <v>Ознакомиться</v>
      </c>
      <c r="W395" s="8" t="s">
        <v>95</v>
      </c>
      <c r="X395" s="6"/>
      <c r="Y395" s="6"/>
      <c r="Z395" s="6"/>
      <c r="AA395" s="6" t="s">
        <v>59</v>
      </c>
    </row>
    <row r="396" spans="1:27" s="4" customFormat="1" ht="42" customHeight="1">
      <c r="A396" s="5">
        <v>0</v>
      </c>
      <c r="B396" s="6" t="s">
        <v>2595</v>
      </c>
      <c r="C396" s="13">
        <v>940</v>
      </c>
      <c r="D396" s="8" t="s">
        <v>2596</v>
      </c>
      <c r="E396" s="8" t="s">
        <v>2597</v>
      </c>
      <c r="F396" s="8" t="s">
        <v>2598</v>
      </c>
      <c r="G396" s="6" t="s">
        <v>83</v>
      </c>
      <c r="H396" s="6" t="s">
        <v>38</v>
      </c>
      <c r="I396" s="8" t="s">
        <v>39</v>
      </c>
      <c r="J396" s="9">
        <v>1</v>
      </c>
      <c r="K396" s="9">
        <v>242</v>
      </c>
      <c r="L396" s="9">
        <v>2022</v>
      </c>
      <c r="M396" s="8" t="s">
        <v>2599</v>
      </c>
      <c r="N396" s="8" t="s">
        <v>74</v>
      </c>
      <c r="O396" s="8" t="s">
        <v>394</v>
      </c>
      <c r="P396" s="6" t="s">
        <v>43</v>
      </c>
      <c r="Q396" s="8" t="s">
        <v>44</v>
      </c>
      <c r="R396" s="10" t="s">
        <v>2600</v>
      </c>
      <c r="S396" s="11"/>
      <c r="T396" s="6"/>
      <c r="U396" s="28" t="str">
        <f>HYPERLINK("https://media.infra-m.ru/1854/1854812/cover/1854812.jpg", "Обложка")</f>
        <v>Обложка</v>
      </c>
      <c r="V396" s="28" t="str">
        <f>HYPERLINK("https://znanium.ru/catalog/product/1854812", "Ознакомиться")</f>
        <v>Ознакомиться</v>
      </c>
      <c r="W396" s="8" t="s">
        <v>2601</v>
      </c>
      <c r="X396" s="6"/>
      <c r="Y396" s="6"/>
      <c r="Z396" s="6"/>
      <c r="AA396" s="6" t="s">
        <v>381</v>
      </c>
    </row>
    <row r="397" spans="1:27" s="4" customFormat="1" ht="51.95" customHeight="1">
      <c r="A397" s="5">
        <v>0</v>
      </c>
      <c r="B397" s="6" t="s">
        <v>2602</v>
      </c>
      <c r="C397" s="7">
        <v>1170</v>
      </c>
      <c r="D397" s="8" t="s">
        <v>2603</v>
      </c>
      <c r="E397" s="8" t="s">
        <v>2604</v>
      </c>
      <c r="F397" s="8" t="s">
        <v>2605</v>
      </c>
      <c r="G397" s="6" t="s">
        <v>83</v>
      </c>
      <c r="H397" s="6" t="s">
        <v>38</v>
      </c>
      <c r="I397" s="8" t="s">
        <v>884</v>
      </c>
      <c r="J397" s="9">
        <v>1</v>
      </c>
      <c r="K397" s="9">
        <v>259</v>
      </c>
      <c r="L397" s="9">
        <v>2020</v>
      </c>
      <c r="M397" s="8" t="s">
        <v>2606</v>
      </c>
      <c r="N397" s="8" t="s">
        <v>74</v>
      </c>
      <c r="O397" s="8" t="s">
        <v>93</v>
      </c>
      <c r="P397" s="6" t="s">
        <v>55</v>
      </c>
      <c r="Q397" s="8" t="s">
        <v>594</v>
      </c>
      <c r="R397" s="10" t="s">
        <v>1710</v>
      </c>
      <c r="S397" s="11" t="s">
        <v>2607</v>
      </c>
      <c r="T397" s="6"/>
      <c r="U397" s="28" t="str">
        <f>HYPERLINK("https://media.infra-m.ru/1947/1947365/cover/1947365.jpg", "Обложка")</f>
        <v>Обложка</v>
      </c>
      <c r="V397" s="28" t="str">
        <f>HYPERLINK("https://znanium.ru/catalog/product/1018310", "Ознакомиться")</f>
        <v>Ознакомиться</v>
      </c>
      <c r="W397" s="8" t="s">
        <v>2608</v>
      </c>
      <c r="X397" s="6"/>
      <c r="Y397" s="6"/>
      <c r="Z397" s="6"/>
      <c r="AA397" s="6" t="s">
        <v>141</v>
      </c>
    </row>
    <row r="398" spans="1:27" s="4" customFormat="1" ht="42" customHeight="1">
      <c r="A398" s="5">
        <v>0</v>
      </c>
      <c r="B398" s="6" t="s">
        <v>2609</v>
      </c>
      <c r="C398" s="13">
        <v>770</v>
      </c>
      <c r="D398" s="8" t="s">
        <v>2610</v>
      </c>
      <c r="E398" s="8" t="s">
        <v>2611</v>
      </c>
      <c r="F398" s="8" t="s">
        <v>2612</v>
      </c>
      <c r="G398" s="6" t="s">
        <v>37</v>
      </c>
      <c r="H398" s="6" t="s">
        <v>38</v>
      </c>
      <c r="I398" s="8" t="s">
        <v>39</v>
      </c>
      <c r="J398" s="9">
        <v>1</v>
      </c>
      <c r="K398" s="9">
        <v>166</v>
      </c>
      <c r="L398" s="9">
        <v>2024</v>
      </c>
      <c r="M398" s="8" t="s">
        <v>2613</v>
      </c>
      <c r="N398" s="8" t="s">
        <v>74</v>
      </c>
      <c r="O398" s="8" t="s">
        <v>75</v>
      </c>
      <c r="P398" s="6" t="s">
        <v>43</v>
      </c>
      <c r="Q398" s="8" t="s">
        <v>44</v>
      </c>
      <c r="R398" s="10" t="s">
        <v>2097</v>
      </c>
      <c r="S398" s="11"/>
      <c r="T398" s="6"/>
      <c r="U398" s="28" t="str">
        <f>HYPERLINK("https://media.infra-m.ru/2063/2063375/cover/2063375.jpg", "Обложка")</f>
        <v>Обложка</v>
      </c>
      <c r="V398" s="28" t="str">
        <f>HYPERLINK("https://znanium.ru/catalog/product/2063375", "Ознакомиться")</f>
        <v>Ознакомиться</v>
      </c>
      <c r="W398" s="8" t="s">
        <v>1093</v>
      </c>
      <c r="X398" s="6"/>
      <c r="Y398" s="6"/>
      <c r="Z398" s="6"/>
      <c r="AA398" s="6" t="s">
        <v>68</v>
      </c>
    </row>
    <row r="399" spans="1:27" s="4" customFormat="1" ht="51.95" customHeight="1">
      <c r="A399" s="5">
        <v>0</v>
      </c>
      <c r="B399" s="6" t="s">
        <v>2614</v>
      </c>
      <c r="C399" s="7">
        <v>1724</v>
      </c>
      <c r="D399" s="8" t="s">
        <v>2615</v>
      </c>
      <c r="E399" s="8" t="s">
        <v>2616</v>
      </c>
      <c r="F399" s="8" t="s">
        <v>2617</v>
      </c>
      <c r="G399" s="6" t="s">
        <v>83</v>
      </c>
      <c r="H399" s="6" t="s">
        <v>38</v>
      </c>
      <c r="I399" s="8" t="s">
        <v>155</v>
      </c>
      <c r="J399" s="9">
        <v>1</v>
      </c>
      <c r="K399" s="9">
        <v>376</v>
      </c>
      <c r="L399" s="9">
        <v>2023</v>
      </c>
      <c r="M399" s="8" t="s">
        <v>2618</v>
      </c>
      <c r="N399" s="8" t="s">
        <v>74</v>
      </c>
      <c r="O399" s="8" t="s">
        <v>109</v>
      </c>
      <c r="P399" s="6" t="s">
        <v>55</v>
      </c>
      <c r="Q399" s="8" t="s">
        <v>56</v>
      </c>
      <c r="R399" s="10" t="s">
        <v>2619</v>
      </c>
      <c r="S399" s="11" t="s">
        <v>2620</v>
      </c>
      <c r="T399" s="6"/>
      <c r="U399" s="28" t="str">
        <f>HYPERLINK("https://media.infra-m.ru/2116/2116172/cover/2116172.jpg", "Обложка")</f>
        <v>Обложка</v>
      </c>
      <c r="V399" s="28" t="str">
        <f>HYPERLINK("https://znanium.ru/catalog/product/2116171", "Ознакомиться")</f>
        <v>Ознакомиться</v>
      </c>
      <c r="W399" s="8" t="s">
        <v>118</v>
      </c>
      <c r="X399" s="6"/>
      <c r="Y399" s="6"/>
      <c r="Z399" s="6"/>
      <c r="AA399" s="6" t="s">
        <v>1217</v>
      </c>
    </row>
    <row r="400" spans="1:27" s="4" customFormat="1" ht="51.95" customHeight="1">
      <c r="A400" s="5">
        <v>0</v>
      </c>
      <c r="B400" s="6" t="s">
        <v>2621</v>
      </c>
      <c r="C400" s="7">
        <v>1174</v>
      </c>
      <c r="D400" s="8" t="s">
        <v>2622</v>
      </c>
      <c r="E400" s="8" t="s">
        <v>2623</v>
      </c>
      <c r="F400" s="8" t="s">
        <v>2624</v>
      </c>
      <c r="G400" s="6" t="s">
        <v>83</v>
      </c>
      <c r="H400" s="6" t="s">
        <v>38</v>
      </c>
      <c r="I400" s="8" t="s">
        <v>164</v>
      </c>
      <c r="J400" s="9">
        <v>1</v>
      </c>
      <c r="K400" s="9">
        <v>255</v>
      </c>
      <c r="L400" s="9">
        <v>2024</v>
      </c>
      <c r="M400" s="8" t="s">
        <v>2625</v>
      </c>
      <c r="N400" s="8" t="s">
        <v>41</v>
      </c>
      <c r="O400" s="8" t="s">
        <v>42</v>
      </c>
      <c r="P400" s="6" t="s">
        <v>55</v>
      </c>
      <c r="Q400" s="8" t="s">
        <v>56</v>
      </c>
      <c r="R400" s="10" t="s">
        <v>2083</v>
      </c>
      <c r="S400" s="11" t="s">
        <v>2626</v>
      </c>
      <c r="T400" s="6"/>
      <c r="U400" s="28" t="str">
        <f>HYPERLINK("https://media.infra-m.ru/2102/2102177/cover/2102177.jpg", "Обложка")</f>
        <v>Обложка</v>
      </c>
      <c r="V400" s="28" t="str">
        <f>HYPERLINK("https://znanium.ru/catalog/product/1816431", "Ознакомиться")</f>
        <v>Ознакомиться</v>
      </c>
      <c r="W400" s="8" t="s">
        <v>1028</v>
      </c>
      <c r="X400" s="6"/>
      <c r="Y400" s="6"/>
      <c r="Z400" s="6"/>
      <c r="AA400" s="6" t="s">
        <v>290</v>
      </c>
    </row>
    <row r="401" spans="1:27" s="4" customFormat="1" ht="44.1" customHeight="1">
      <c r="A401" s="5">
        <v>0</v>
      </c>
      <c r="B401" s="6" t="s">
        <v>2627</v>
      </c>
      <c r="C401" s="7">
        <v>1310</v>
      </c>
      <c r="D401" s="8" t="s">
        <v>2628</v>
      </c>
      <c r="E401" s="8" t="s">
        <v>2629</v>
      </c>
      <c r="F401" s="8" t="s">
        <v>2630</v>
      </c>
      <c r="G401" s="6" t="s">
        <v>37</v>
      </c>
      <c r="H401" s="6" t="s">
        <v>38</v>
      </c>
      <c r="I401" s="8" t="s">
        <v>39</v>
      </c>
      <c r="J401" s="9">
        <v>1</v>
      </c>
      <c r="K401" s="9">
        <v>292</v>
      </c>
      <c r="L401" s="9">
        <v>2023</v>
      </c>
      <c r="M401" s="8" t="s">
        <v>2631</v>
      </c>
      <c r="N401" s="8" t="s">
        <v>41</v>
      </c>
      <c r="O401" s="8" t="s">
        <v>42</v>
      </c>
      <c r="P401" s="6" t="s">
        <v>43</v>
      </c>
      <c r="Q401" s="8" t="s">
        <v>44</v>
      </c>
      <c r="R401" s="10" t="s">
        <v>2632</v>
      </c>
      <c r="S401" s="11"/>
      <c r="T401" s="6"/>
      <c r="U401" s="28" t="str">
        <f>HYPERLINK("https://media.infra-m.ru/1876/1876369/cover/1876369.jpg", "Обложка")</f>
        <v>Обложка</v>
      </c>
      <c r="V401" s="28" t="str">
        <f>HYPERLINK("https://znanium.ru/catalog/product/1876369", "Ознакомиться")</f>
        <v>Ознакомиться</v>
      </c>
      <c r="W401" s="8" t="s">
        <v>1035</v>
      </c>
      <c r="X401" s="6"/>
      <c r="Y401" s="6"/>
      <c r="Z401" s="6"/>
      <c r="AA401" s="6" t="s">
        <v>111</v>
      </c>
    </row>
    <row r="402" spans="1:27" s="4" customFormat="1" ht="44.1" customHeight="1">
      <c r="A402" s="5">
        <v>0</v>
      </c>
      <c r="B402" s="6" t="s">
        <v>2633</v>
      </c>
      <c r="C402" s="13">
        <v>834.9</v>
      </c>
      <c r="D402" s="8" t="s">
        <v>2634</v>
      </c>
      <c r="E402" s="8" t="s">
        <v>2635</v>
      </c>
      <c r="F402" s="8" t="s">
        <v>2636</v>
      </c>
      <c r="G402" s="6" t="s">
        <v>37</v>
      </c>
      <c r="H402" s="6" t="s">
        <v>470</v>
      </c>
      <c r="I402" s="8" t="s">
        <v>1040</v>
      </c>
      <c r="J402" s="9">
        <v>1</v>
      </c>
      <c r="K402" s="9">
        <v>270</v>
      </c>
      <c r="L402" s="9">
        <v>2018</v>
      </c>
      <c r="M402" s="8" t="s">
        <v>2637</v>
      </c>
      <c r="N402" s="8" t="s">
        <v>74</v>
      </c>
      <c r="O402" s="8" t="s">
        <v>75</v>
      </c>
      <c r="P402" s="6" t="s">
        <v>43</v>
      </c>
      <c r="Q402" s="8" t="s">
        <v>44</v>
      </c>
      <c r="R402" s="10" t="s">
        <v>2638</v>
      </c>
      <c r="S402" s="11"/>
      <c r="T402" s="6"/>
      <c r="U402" s="28" t="str">
        <f>HYPERLINK("https://media.infra-m.ru/0927/0927184/cover/927184.jpg", "Обложка")</f>
        <v>Обложка</v>
      </c>
      <c r="V402" s="28" t="str">
        <f>HYPERLINK("https://znanium.ru/catalog/product/927184", "Ознакомиться")</f>
        <v>Ознакомиться</v>
      </c>
      <c r="W402" s="8" t="s">
        <v>557</v>
      </c>
      <c r="X402" s="6"/>
      <c r="Y402" s="6"/>
      <c r="Z402" s="6"/>
      <c r="AA402" s="6" t="s">
        <v>364</v>
      </c>
    </row>
    <row r="403" spans="1:27" s="4" customFormat="1" ht="51.95" customHeight="1">
      <c r="A403" s="5">
        <v>0</v>
      </c>
      <c r="B403" s="6" t="s">
        <v>2639</v>
      </c>
      <c r="C403" s="7">
        <v>1394</v>
      </c>
      <c r="D403" s="8" t="s">
        <v>2640</v>
      </c>
      <c r="E403" s="8" t="s">
        <v>2641</v>
      </c>
      <c r="F403" s="8" t="s">
        <v>2642</v>
      </c>
      <c r="G403" s="6" t="s">
        <v>83</v>
      </c>
      <c r="H403" s="6" t="s">
        <v>38</v>
      </c>
      <c r="I403" s="8" t="s">
        <v>2643</v>
      </c>
      <c r="J403" s="9">
        <v>1</v>
      </c>
      <c r="K403" s="9">
        <v>268</v>
      </c>
      <c r="L403" s="9">
        <v>2024</v>
      </c>
      <c r="M403" s="8" t="s">
        <v>2644</v>
      </c>
      <c r="N403" s="8" t="s">
        <v>41</v>
      </c>
      <c r="O403" s="8" t="s">
        <v>54</v>
      </c>
      <c r="P403" s="6" t="s">
        <v>55</v>
      </c>
      <c r="Q403" s="8" t="s">
        <v>594</v>
      </c>
      <c r="R403" s="10" t="s">
        <v>2645</v>
      </c>
      <c r="S403" s="11" t="s">
        <v>2646</v>
      </c>
      <c r="T403" s="6"/>
      <c r="U403" s="28" t="str">
        <f>HYPERLINK("https://media.infra-m.ru/2104/2104874/cover/2104874.jpg", "Обложка")</f>
        <v>Обложка</v>
      </c>
      <c r="V403" s="12"/>
      <c r="W403" s="8" t="s">
        <v>327</v>
      </c>
      <c r="X403" s="6"/>
      <c r="Y403" s="6"/>
      <c r="Z403" s="6"/>
      <c r="AA403" s="6" t="s">
        <v>68</v>
      </c>
    </row>
    <row r="404" spans="1:27" s="4" customFormat="1" ht="51.95" customHeight="1">
      <c r="A404" s="5">
        <v>0</v>
      </c>
      <c r="B404" s="6" t="s">
        <v>2647</v>
      </c>
      <c r="C404" s="7">
        <v>1817</v>
      </c>
      <c r="D404" s="8" t="s">
        <v>2648</v>
      </c>
      <c r="E404" s="8" t="s">
        <v>2649</v>
      </c>
      <c r="F404" s="8" t="s">
        <v>1405</v>
      </c>
      <c r="G404" s="6" t="s">
        <v>123</v>
      </c>
      <c r="H404" s="6" t="s">
        <v>52</v>
      </c>
      <c r="I404" s="8" t="s">
        <v>164</v>
      </c>
      <c r="J404" s="9">
        <v>1</v>
      </c>
      <c r="K404" s="9">
        <v>304</v>
      </c>
      <c r="L404" s="9">
        <v>2024</v>
      </c>
      <c r="M404" s="8" t="s">
        <v>2650</v>
      </c>
      <c r="N404" s="8" t="s">
        <v>74</v>
      </c>
      <c r="O404" s="8" t="s">
        <v>394</v>
      </c>
      <c r="P404" s="6" t="s">
        <v>55</v>
      </c>
      <c r="Q404" s="8" t="s">
        <v>56</v>
      </c>
      <c r="R404" s="10" t="s">
        <v>2651</v>
      </c>
      <c r="S404" s="11"/>
      <c r="T404" s="6"/>
      <c r="U404" s="28" t="str">
        <f>HYPERLINK("https://media.infra-m.ru/2087/2087305/cover/2087305.jpg", "Обложка")</f>
        <v>Обложка</v>
      </c>
      <c r="V404" s="28" t="str">
        <f>HYPERLINK("https://znanium.ru/catalog/product/1003290", "Ознакомиться")</f>
        <v>Ознакомиться</v>
      </c>
      <c r="W404" s="8" t="s">
        <v>1401</v>
      </c>
      <c r="X404" s="6"/>
      <c r="Y404" s="6"/>
      <c r="Z404" s="6"/>
      <c r="AA404" s="6" t="s">
        <v>381</v>
      </c>
    </row>
    <row r="405" spans="1:27" s="4" customFormat="1" ht="51.95" customHeight="1">
      <c r="A405" s="5">
        <v>0</v>
      </c>
      <c r="B405" s="6" t="s">
        <v>2652</v>
      </c>
      <c r="C405" s="7">
        <v>1782</v>
      </c>
      <c r="D405" s="8" t="s">
        <v>2653</v>
      </c>
      <c r="E405" s="8" t="s">
        <v>2649</v>
      </c>
      <c r="F405" s="8" t="s">
        <v>1405</v>
      </c>
      <c r="G405" s="6" t="s">
        <v>83</v>
      </c>
      <c r="H405" s="6" t="s">
        <v>52</v>
      </c>
      <c r="I405" s="8" t="s">
        <v>205</v>
      </c>
      <c r="J405" s="9">
        <v>1</v>
      </c>
      <c r="K405" s="9">
        <v>304</v>
      </c>
      <c r="L405" s="9">
        <v>2023</v>
      </c>
      <c r="M405" s="8" t="s">
        <v>2654</v>
      </c>
      <c r="N405" s="8" t="s">
        <v>74</v>
      </c>
      <c r="O405" s="8" t="s">
        <v>394</v>
      </c>
      <c r="P405" s="6" t="s">
        <v>55</v>
      </c>
      <c r="Q405" s="8" t="s">
        <v>207</v>
      </c>
      <c r="R405" s="10" t="s">
        <v>2108</v>
      </c>
      <c r="S405" s="11" t="s">
        <v>2655</v>
      </c>
      <c r="T405" s="6"/>
      <c r="U405" s="28" t="str">
        <f>HYPERLINK("https://media.infra-m.ru/1976/1976096/cover/1976096.jpg", "Обложка")</f>
        <v>Обложка</v>
      </c>
      <c r="V405" s="28" t="str">
        <f>HYPERLINK("https://znanium.ru/catalog/product/1976096", "Ознакомиться")</f>
        <v>Ознакомиться</v>
      </c>
      <c r="W405" s="8" t="s">
        <v>1401</v>
      </c>
      <c r="X405" s="6"/>
      <c r="Y405" s="6"/>
      <c r="Z405" s="6" t="s">
        <v>235</v>
      </c>
      <c r="AA405" s="6" t="s">
        <v>78</v>
      </c>
    </row>
    <row r="406" spans="1:27" s="4" customFormat="1" ht="51.95" customHeight="1">
      <c r="A406" s="5">
        <v>0</v>
      </c>
      <c r="B406" s="6" t="s">
        <v>2656</v>
      </c>
      <c r="C406" s="7">
        <v>2150</v>
      </c>
      <c r="D406" s="8" t="s">
        <v>2657</v>
      </c>
      <c r="E406" s="8" t="s">
        <v>2658</v>
      </c>
      <c r="F406" s="8" t="s">
        <v>173</v>
      </c>
      <c r="G406" s="6" t="s">
        <v>123</v>
      </c>
      <c r="H406" s="6" t="s">
        <v>38</v>
      </c>
      <c r="I406" s="8" t="s">
        <v>174</v>
      </c>
      <c r="J406" s="9">
        <v>1</v>
      </c>
      <c r="K406" s="9">
        <v>460</v>
      </c>
      <c r="L406" s="9">
        <v>2024</v>
      </c>
      <c r="M406" s="8" t="s">
        <v>2659</v>
      </c>
      <c r="N406" s="8" t="s">
        <v>74</v>
      </c>
      <c r="O406" s="8" t="s">
        <v>75</v>
      </c>
      <c r="P406" s="6" t="s">
        <v>176</v>
      </c>
      <c r="Q406" s="8" t="s">
        <v>177</v>
      </c>
      <c r="R406" s="10" t="s">
        <v>2660</v>
      </c>
      <c r="S406" s="11"/>
      <c r="T406" s="6"/>
      <c r="U406" s="28" t="str">
        <f>HYPERLINK("https://media.infra-m.ru/2049/2049709/cover/2049709.jpg", "Обложка")</f>
        <v>Обложка</v>
      </c>
      <c r="V406" s="28" t="str">
        <f>HYPERLINK("https://znanium.ru/catalog/product/2049709", "Ознакомиться")</f>
        <v>Ознакомиться</v>
      </c>
      <c r="W406" s="8" t="s">
        <v>140</v>
      </c>
      <c r="X406" s="6" t="s">
        <v>641</v>
      </c>
      <c r="Y406" s="6"/>
      <c r="Z406" s="6"/>
      <c r="AA406" s="6" t="s">
        <v>180</v>
      </c>
    </row>
    <row r="407" spans="1:27" s="4" customFormat="1" ht="42" customHeight="1">
      <c r="A407" s="5">
        <v>0</v>
      </c>
      <c r="B407" s="6" t="s">
        <v>2661</v>
      </c>
      <c r="C407" s="13">
        <v>780</v>
      </c>
      <c r="D407" s="8" t="s">
        <v>2662</v>
      </c>
      <c r="E407" s="8" t="s">
        <v>2663</v>
      </c>
      <c r="F407" s="8" t="s">
        <v>2664</v>
      </c>
      <c r="G407" s="6" t="s">
        <v>37</v>
      </c>
      <c r="H407" s="6" t="s">
        <v>317</v>
      </c>
      <c r="I407" s="8" t="s">
        <v>39</v>
      </c>
      <c r="J407" s="9">
        <v>1</v>
      </c>
      <c r="K407" s="9">
        <v>168</v>
      </c>
      <c r="L407" s="9">
        <v>2024</v>
      </c>
      <c r="M407" s="8" t="s">
        <v>2665</v>
      </c>
      <c r="N407" s="8" t="s">
        <v>41</v>
      </c>
      <c r="O407" s="8" t="s">
        <v>42</v>
      </c>
      <c r="P407" s="6" t="s">
        <v>43</v>
      </c>
      <c r="Q407" s="8" t="s">
        <v>44</v>
      </c>
      <c r="R407" s="10" t="s">
        <v>2666</v>
      </c>
      <c r="S407" s="11"/>
      <c r="T407" s="6"/>
      <c r="U407" s="28" t="str">
        <f>HYPERLINK("https://media.infra-m.ru/2086/2086779/cover/2086779.jpg", "Обложка")</f>
        <v>Обложка</v>
      </c>
      <c r="V407" s="12"/>
      <c r="W407" s="8" t="s">
        <v>2667</v>
      </c>
      <c r="X407" s="6"/>
      <c r="Y407" s="6"/>
      <c r="Z407" s="6"/>
      <c r="AA407" s="6" t="s">
        <v>880</v>
      </c>
    </row>
    <row r="408" spans="1:27" s="4" customFormat="1" ht="42" customHeight="1">
      <c r="A408" s="5">
        <v>0</v>
      </c>
      <c r="B408" s="6" t="s">
        <v>2668</v>
      </c>
      <c r="C408" s="13">
        <v>690</v>
      </c>
      <c r="D408" s="8" t="s">
        <v>2669</v>
      </c>
      <c r="E408" s="8" t="s">
        <v>2670</v>
      </c>
      <c r="F408" s="8" t="s">
        <v>2664</v>
      </c>
      <c r="G408" s="6" t="s">
        <v>37</v>
      </c>
      <c r="H408" s="6" t="s">
        <v>317</v>
      </c>
      <c r="I408" s="8" t="s">
        <v>39</v>
      </c>
      <c r="J408" s="9">
        <v>1</v>
      </c>
      <c r="K408" s="9">
        <v>168</v>
      </c>
      <c r="L408" s="9">
        <v>2021</v>
      </c>
      <c r="M408" s="8" t="s">
        <v>2665</v>
      </c>
      <c r="N408" s="8" t="s">
        <v>41</v>
      </c>
      <c r="O408" s="8" t="s">
        <v>42</v>
      </c>
      <c r="P408" s="6" t="s">
        <v>43</v>
      </c>
      <c r="Q408" s="8" t="s">
        <v>44</v>
      </c>
      <c r="R408" s="10" t="s">
        <v>2666</v>
      </c>
      <c r="S408" s="11"/>
      <c r="T408" s="6"/>
      <c r="U408" s="28" t="str">
        <f>HYPERLINK("https://media.infra-m.ru/1177/1177513/cover/1177513.jpg", "Обложка")</f>
        <v>Обложка</v>
      </c>
      <c r="V408" s="12"/>
      <c r="W408" s="8" t="s">
        <v>2667</v>
      </c>
      <c r="X408" s="6"/>
      <c r="Y408" s="6"/>
      <c r="Z408" s="6"/>
      <c r="AA408" s="6" t="s">
        <v>78</v>
      </c>
    </row>
    <row r="409" spans="1:27" s="4" customFormat="1" ht="51.95" customHeight="1">
      <c r="A409" s="5">
        <v>0</v>
      </c>
      <c r="B409" s="6" t="s">
        <v>2671</v>
      </c>
      <c r="C409" s="7">
        <v>2234</v>
      </c>
      <c r="D409" s="8" t="s">
        <v>2672</v>
      </c>
      <c r="E409" s="8" t="s">
        <v>2673</v>
      </c>
      <c r="F409" s="8" t="s">
        <v>2674</v>
      </c>
      <c r="G409" s="6" t="s">
        <v>123</v>
      </c>
      <c r="H409" s="6" t="s">
        <v>934</v>
      </c>
      <c r="I409" s="8" t="s">
        <v>205</v>
      </c>
      <c r="J409" s="9">
        <v>1</v>
      </c>
      <c r="K409" s="9">
        <v>687</v>
      </c>
      <c r="L409" s="9">
        <v>2024</v>
      </c>
      <c r="M409" s="8" t="s">
        <v>2675</v>
      </c>
      <c r="N409" s="8" t="s">
        <v>74</v>
      </c>
      <c r="O409" s="8" t="s">
        <v>394</v>
      </c>
      <c r="P409" s="6" t="s">
        <v>176</v>
      </c>
      <c r="Q409" s="8" t="s">
        <v>207</v>
      </c>
      <c r="R409" s="10" t="s">
        <v>2676</v>
      </c>
      <c r="S409" s="11" t="s">
        <v>2677</v>
      </c>
      <c r="T409" s="6"/>
      <c r="U409" s="28" t="str">
        <f>HYPERLINK("https://media.infra-m.ru/2137/2137926/cover/2137926.jpg", "Обложка")</f>
        <v>Обложка</v>
      </c>
      <c r="V409" s="28" t="str">
        <f>HYPERLINK("https://znanium.ru/catalog/product/1069042", "Ознакомиться")</f>
        <v>Ознакомиться</v>
      </c>
      <c r="W409" s="8" t="s">
        <v>2009</v>
      </c>
      <c r="X409" s="6"/>
      <c r="Y409" s="6"/>
      <c r="Z409" s="6"/>
      <c r="AA409" s="6" t="s">
        <v>274</v>
      </c>
    </row>
    <row r="410" spans="1:27" s="4" customFormat="1" ht="42" customHeight="1">
      <c r="A410" s="5">
        <v>0</v>
      </c>
      <c r="B410" s="6" t="s">
        <v>2678</v>
      </c>
      <c r="C410" s="7">
        <v>2747</v>
      </c>
      <c r="D410" s="8" t="s">
        <v>2679</v>
      </c>
      <c r="E410" s="8" t="s">
        <v>2680</v>
      </c>
      <c r="F410" s="8" t="s">
        <v>2681</v>
      </c>
      <c r="G410" s="6" t="s">
        <v>83</v>
      </c>
      <c r="H410" s="6" t="s">
        <v>630</v>
      </c>
      <c r="I410" s="8"/>
      <c r="J410" s="9">
        <v>1</v>
      </c>
      <c r="K410" s="9">
        <v>464</v>
      </c>
      <c r="L410" s="9">
        <v>2023</v>
      </c>
      <c r="M410" s="8" t="s">
        <v>2682</v>
      </c>
      <c r="N410" s="8" t="s">
        <v>74</v>
      </c>
      <c r="O410" s="8" t="s">
        <v>394</v>
      </c>
      <c r="P410" s="6" t="s">
        <v>55</v>
      </c>
      <c r="Q410" s="8" t="s">
        <v>56</v>
      </c>
      <c r="R410" s="10" t="s">
        <v>2683</v>
      </c>
      <c r="S410" s="11"/>
      <c r="T410" s="6"/>
      <c r="U410" s="28" t="str">
        <f>HYPERLINK("https://media.infra-m.ru/2110/2110053/cover/2110053.jpg", "Обложка")</f>
        <v>Обложка</v>
      </c>
      <c r="V410" s="28" t="str">
        <f>HYPERLINK("https://znanium.ru/catalog/product/1899832", "Ознакомиться")</f>
        <v>Ознакомиться</v>
      </c>
      <c r="W410" s="8" t="s">
        <v>634</v>
      </c>
      <c r="X410" s="6"/>
      <c r="Y410" s="6"/>
      <c r="Z410" s="6"/>
      <c r="AA410" s="6" t="s">
        <v>1772</v>
      </c>
    </row>
    <row r="411" spans="1:27" s="4" customFormat="1" ht="51.95" customHeight="1">
      <c r="A411" s="5">
        <v>0</v>
      </c>
      <c r="B411" s="6" t="s">
        <v>2684</v>
      </c>
      <c r="C411" s="7">
        <v>1990</v>
      </c>
      <c r="D411" s="8" t="s">
        <v>2685</v>
      </c>
      <c r="E411" s="8" t="s">
        <v>2686</v>
      </c>
      <c r="F411" s="8" t="s">
        <v>2687</v>
      </c>
      <c r="G411" s="6" t="s">
        <v>123</v>
      </c>
      <c r="H411" s="6" t="s">
        <v>38</v>
      </c>
      <c r="I411" s="8" t="s">
        <v>155</v>
      </c>
      <c r="J411" s="9">
        <v>1</v>
      </c>
      <c r="K411" s="9">
        <v>427</v>
      </c>
      <c r="L411" s="9">
        <v>2024</v>
      </c>
      <c r="M411" s="8" t="s">
        <v>2688</v>
      </c>
      <c r="N411" s="8" t="s">
        <v>74</v>
      </c>
      <c r="O411" s="8" t="s">
        <v>109</v>
      </c>
      <c r="P411" s="6" t="s">
        <v>55</v>
      </c>
      <c r="Q411" s="8" t="s">
        <v>56</v>
      </c>
      <c r="R411" s="10" t="s">
        <v>2689</v>
      </c>
      <c r="S411" s="11" t="s">
        <v>2690</v>
      </c>
      <c r="T411" s="6"/>
      <c r="U411" s="28" t="str">
        <f>HYPERLINK("https://media.infra-m.ru/2140/2140715/cover/2140715.jpg", "Обложка")</f>
        <v>Обложка</v>
      </c>
      <c r="V411" s="28" t="str">
        <f>HYPERLINK("https://znanium.ru/catalog/product/2140715", "Ознакомиться")</f>
        <v>Ознакомиться</v>
      </c>
      <c r="W411" s="8" t="s">
        <v>58</v>
      </c>
      <c r="X411" s="6"/>
      <c r="Y411" s="6"/>
      <c r="Z411" s="6"/>
      <c r="AA411" s="6" t="s">
        <v>768</v>
      </c>
    </row>
    <row r="412" spans="1:27" s="4" customFormat="1" ht="51.95" customHeight="1">
      <c r="A412" s="5">
        <v>0</v>
      </c>
      <c r="B412" s="6" t="s">
        <v>2691</v>
      </c>
      <c r="C412" s="7">
        <v>1660</v>
      </c>
      <c r="D412" s="8" t="s">
        <v>2692</v>
      </c>
      <c r="E412" s="8" t="s">
        <v>2693</v>
      </c>
      <c r="F412" s="8" t="s">
        <v>1761</v>
      </c>
      <c r="G412" s="6" t="s">
        <v>123</v>
      </c>
      <c r="H412" s="6" t="s">
        <v>38</v>
      </c>
      <c r="I412" s="8" t="s">
        <v>39</v>
      </c>
      <c r="J412" s="9">
        <v>1</v>
      </c>
      <c r="K412" s="9">
        <v>436</v>
      </c>
      <c r="L412" s="9">
        <v>2022</v>
      </c>
      <c r="M412" s="8" t="s">
        <v>2694</v>
      </c>
      <c r="N412" s="8" t="s">
        <v>41</v>
      </c>
      <c r="O412" s="8" t="s">
        <v>54</v>
      </c>
      <c r="P412" s="6" t="s">
        <v>43</v>
      </c>
      <c r="Q412" s="8" t="s">
        <v>44</v>
      </c>
      <c r="R412" s="10" t="s">
        <v>2695</v>
      </c>
      <c r="S412" s="11"/>
      <c r="T412" s="6"/>
      <c r="U412" s="28" t="str">
        <f>HYPERLINK("https://media.infra-m.ru/1836/1836959/cover/1836959.jpg", "Обложка")</f>
        <v>Обложка</v>
      </c>
      <c r="V412" s="28" t="str">
        <f>HYPERLINK("https://znanium.ru/catalog/product/1836959", "Ознакомиться")</f>
        <v>Ознакомиться</v>
      </c>
      <c r="W412" s="8" t="s">
        <v>1764</v>
      </c>
      <c r="X412" s="6"/>
      <c r="Y412" s="6"/>
      <c r="Z412" s="6"/>
      <c r="AA412" s="6" t="s">
        <v>103</v>
      </c>
    </row>
    <row r="413" spans="1:27" s="4" customFormat="1" ht="51.95" customHeight="1">
      <c r="A413" s="5">
        <v>0</v>
      </c>
      <c r="B413" s="6" t="s">
        <v>2696</v>
      </c>
      <c r="C413" s="7">
        <v>1514.9</v>
      </c>
      <c r="D413" s="8" t="s">
        <v>2697</v>
      </c>
      <c r="E413" s="8" t="s">
        <v>2698</v>
      </c>
      <c r="F413" s="8" t="s">
        <v>2699</v>
      </c>
      <c r="G413" s="6" t="s">
        <v>123</v>
      </c>
      <c r="H413" s="6" t="s">
        <v>528</v>
      </c>
      <c r="I413" s="8"/>
      <c r="J413" s="9">
        <v>1</v>
      </c>
      <c r="K413" s="9">
        <v>336</v>
      </c>
      <c r="L413" s="9">
        <v>2023</v>
      </c>
      <c r="M413" s="8" t="s">
        <v>2700</v>
      </c>
      <c r="N413" s="8" t="s">
        <v>74</v>
      </c>
      <c r="O413" s="8" t="s">
        <v>109</v>
      </c>
      <c r="P413" s="6" t="s">
        <v>176</v>
      </c>
      <c r="Q413" s="8" t="s">
        <v>56</v>
      </c>
      <c r="R413" s="10" t="s">
        <v>2701</v>
      </c>
      <c r="S413" s="11" t="s">
        <v>2702</v>
      </c>
      <c r="T413" s="6"/>
      <c r="U413" s="28" t="str">
        <f>HYPERLINK("https://media.infra-m.ru/1904/1904736/cover/1904736.jpg", "Обложка")</f>
        <v>Обложка</v>
      </c>
      <c r="V413" s="28" t="str">
        <f>HYPERLINK("https://znanium.ru/catalog/product/1941722", "Ознакомиться")</f>
        <v>Ознакомиться</v>
      </c>
      <c r="W413" s="8" t="s">
        <v>2703</v>
      </c>
      <c r="X413" s="6"/>
      <c r="Y413" s="6"/>
      <c r="Z413" s="6"/>
      <c r="AA413" s="6" t="s">
        <v>2704</v>
      </c>
    </row>
    <row r="414" spans="1:27" s="4" customFormat="1" ht="51.95" customHeight="1">
      <c r="A414" s="5">
        <v>0</v>
      </c>
      <c r="B414" s="6" t="s">
        <v>2705</v>
      </c>
      <c r="C414" s="7">
        <v>1360</v>
      </c>
      <c r="D414" s="8" t="s">
        <v>2706</v>
      </c>
      <c r="E414" s="8" t="s">
        <v>2707</v>
      </c>
      <c r="F414" s="8" t="s">
        <v>2708</v>
      </c>
      <c r="G414" s="6" t="s">
        <v>83</v>
      </c>
      <c r="H414" s="6" t="s">
        <v>38</v>
      </c>
      <c r="I414" s="8" t="s">
        <v>155</v>
      </c>
      <c r="J414" s="9">
        <v>1</v>
      </c>
      <c r="K414" s="9">
        <v>289</v>
      </c>
      <c r="L414" s="9">
        <v>2023</v>
      </c>
      <c r="M414" s="8" t="s">
        <v>2709</v>
      </c>
      <c r="N414" s="8" t="s">
        <v>74</v>
      </c>
      <c r="O414" s="8" t="s">
        <v>109</v>
      </c>
      <c r="P414" s="6" t="s">
        <v>176</v>
      </c>
      <c r="Q414" s="8" t="s">
        <v>177</v>
      </c>
      <c r="R414" s="10" t="s">
        <v>2710</v>
      </c>
      <c r="S414" s="11" t="s">
        <v>2711</v>
      </c>
      <c r="T414" s="6"/>
      <c r="U414" s="28" t="str">
        <f>HYPERLINK("https://media.infra-m.ru/2012/2012672/cover/2012672.jpg", "Обложка")</f>
        <v>Обложка</v>
      </c>
      <c r="V414" s="28" t="str">
        <f>HYPERLINK("https://znanium.ru/catalog/product/1913995", "Ознакомиться")</f>
        <v>Ознакомиться</v>
      </c>
      <c r="W414" s="8" t="s">
        <v>2712</v>
      </c>
      <c r="X414" s="6"/>
      <c r="Y414" s="6"/>
      <c r="Z414" s="6"/>
      <c r="AA414" s="6" t="s">
        <v>2713</v>
      </c>
    </row>
    <row r="415" spans="1:27" s="4" customFormat="1" ht="51.95" customHeight="1">
      <c r="A415" s="5">
        <v>0</v>
      </c>
      <c r="B415" s="6" t="s">
        <v>2714</v>
      </c>
      <c r="C415" s="13">
        <v>890</v>
      </c>
      <c r="D415" s="8" t="s">
        <v>2715</v>
      </c>
      <c r="E415" s="8" t="s">
        <v>2716</v>
      </c>
      <c r="F415" s="8" t="s">
        <v>2708</v>
      </c>
      <c r="G415" s="6" t="s">
        <v>123</v>
      </c>
      <c r="H415" s="6" t="s">
        <v>1701</v>
      </c>
      <c r="I415" s="8" t="s">
        <v>155</v>
      </c>
      <c r="J415" s="9">
        <v>1</v>
      </c>
      <c r="K415" s="9">
        <v>304</v>
      </c>
      <c r="L415" s="9">
        <v>2018</v>
      </c>
      <c r="M415" s="8" t="s">
        <v>2717</v>
      </c>
      <c r="N415" s="8" t="s">
        <v>74</v>
      </c>
      <c r="O415" s="8" t="s">
        <v>109</v>
      </c>
      <c r="P415" s="6" t="s">
        <v>176</v>
      </c>
      <c r="Q415" s="8" t="s">
        <v>56</v>
      </c>
      <c r="R415" s="10" t="s">
        <v>2710</v>
      </c>
      <c r="S415" s="11" t="s">
        <v>2718</v>
      </c>
      <c r="T415" s="6"/>
      <c r="U415" s="28" t="str">
        <f>HYPERLINK("https://media.infra-m.ru/0942/0942783/cover/942783.jpg", "Обложка")</f>
        <v>Обложка</v>
      </c>
      <c r="V415" s="28" t="str">
        <f>HYPERLINK("https://znanium.ru/catalog/product/1913995", "Ознакомиться")</f>
        <v>Ознакомиться</v>
      </c>
      <c r="W415" s="8" t="s">
        <v>2712</v>
      </c>
      <c r="X415" s="6"/>
      <c r="Y415" s="6"/>
      <c r="Z415" s="6"/>
      <c r="AA415" s="6" t="s">
        <v>2336</v>
      </c>
    </row>
    <row r="416" spans="1:27" s="4" customFormat="1" ht="51.95" customHeight="1">
      <c r="A416" s="5">
        <v>0</v>
      </c>
      <c r="B416" s="6" t="s">
        <v>2719</v>
      </c>
      <c r="C416" s="7">
        <v>1350</v>
      </c>
      <c r="D416" s="8" t="s">
        <v>2720</v>
      </c>
      <c r="E416" s="8" t="s">
        <v>2721</v>
      </c>
      <c r="F416" s="8" t="s">
        <v>2722</v>
      </c>
      <c r="G416" s="6" t="s">
        <v>83</v>
      </c>
      <c r="H416" s="6" t="s">
        <v>38</v>
      </c>
      <c r="I416" s="8" t="s">
        <v>164</v>
      </c>
      <c r="J416" s="9">
        <v>1</v>
      </c>
      <c r="K416" s="9">
        <v>301</v>
      </c>
      <c r="L416" s="9">
        <v>2021</v>
      </c>
      <c r="M416" s="8" t="s">
        <v>2723</v>
      </c>
      <c r="N416" s="8" t="s">
        <v>74</v>
      </c>
      <c r="O416" s="8" t="s">
        <v>109</v>
      </c>
      <c r="P416" s="6" t="s">
        <v>176</v>
      </c>
      <c r="Q416" s="8" t="s">
        <v>56</v>
      </c>
      <c r="R416" s="10" t="s">
        <v>2724</v>
      </c>
      <c r="S416" s="11" t="s">
        <v>2725</v>
      </c>
      <c r="T416" s="6"/>
      <c r="U416" s="28" t="str">
        <f>HYPERLINK("https://media.infra-m.ru/1950/1950299/cover/1950299.jpg", "Обложка")</f>
        <v>Обложка</v>
      </c>
      <c r="V416" s="28" t="str">
        <f>HYPERLINK("https://znanium.ru/catalog/product/1891836", "Ознакомиться")</f>
        <v>Ознакомиться</v>
      </c>
      <c r="W416" s="8" t="s">
        <v>2726</v>
      </c>
      <c r="X416" s="6"/>
      <c r="Y416" s="6" t="s">
        <v>30</v>
      </c>
      <c r="Z416" s="6"/>
      <c r="AA416" s="6" t="s">
        <v>2727</v>
      </c>
    </row>
    <row r="417" spans="1:27" s="4" customFormat="1" ht="51.95" customHeight="1">
      <c r="A417" s="5">
        <v>0</v>
      </c>
      <c r="B417" s="6" t="s">
        <v>2728</v>
      </c>
      <c r="C417" s="13">
        <v>448</v>
      </c>
      <c r="D417" s="8" t="s">
        <v>2729</v>
      </c>
      <c r="E417" s="8" t="s">
        <v>2721</v>
      </c>
      <c r="F417" s="8" t="s">
        <v>2730</v>
      </c>
      <c r="G417" s="6" t="s">
        <v>37</v>
      </c>
      <c r="H417" s="6" t="s">
        <v>317</v>
      </c>
      <c r="I417" s="8" t="s">
        <v>2731</v>
      </c>
      <c r="J417" s="9">
        <v>1</v>
      </c>
      <c r="K417" s="9">
        <v>141</v>
      </c>
      <c r="L417" s="9">
        <v>2023</v>
      </c>
      <c r="M417" s="8" t="s">
        <v>2732</v>
      </c>
      <c r="N417" s="8" t="s">
        <v>74</v>
      </c>
      <c r="O417" s="8" t="s">
        <v>109</v>
      </c>
      <c r="P417" s="6" t="s">
        <v>55</v>
      </c>
      <c r="Q417" s="8" t="s">
        <v>56</v>
      </c>
      <c r="R417" s="10" t="s">
        <v>2733</v>
      </c>
      <c r="S417" s="11"/>
      <c r="T417" s="6"/>
      <c r="U417" s="28" t="str">
        <f>HYPERLINK("https://media.infra-m.ru/1971/1971830/cover/1971830.jpg", "Обложка")</f>
        <v>Обложка</v>
      </c>
      <c r="V417" s="28" t="str">
        <f>HYPERLINK("https://znanium.ru/catalog/product/1815598", "Ознакомиться")</f>
        <v>Ознакомиться</v>
      </c>
      <c r="W417" s="8" t="s">
        <v>297</v>
      </c>
      <c r="X417" s="6"/>
      <c r="Y417" s="6"/>
      <c r="Z417" s="6"/>
      <c r="AA417" s="6" t="s">
        <v>306</v>
      </c>
    </row>
    <row r="418" spans="1:27" s="4" customFormat="1" ht="42" customHeight="1">
      <c r="A418" s="5">
        <v>0</v>
      </c>
      <c r="B418" s="6" t="s">
        <v>2734</v>
      </c>
      <c r="C418" s="7">
        <v>1400</v>
      </c>
      <c r="D418" s="8" t="s">
        <v>2735</v>
      </c>
      <c r="E418" s="8" t="s">
        <v>2736</v>
      </c>
      <c r="F418" s="8" t="s">
        <v>2737</v>
      </c>
      <c r="G418" s="6" t="s">
        <v>83</v>
      </c>
      <c r="H418" s="6" t="s">
        <v>38</v>
      </c>
      <c r="I418" s="8" t="s">
        <v>39</v>
      </c>
      <c r="J418" s="9">
        <v>1</v>
      </c>
      <c r="K418" s="9">
        <v>350</v>
      </c>
      <c r="L418" s="9">
        <v>2022</v>
      </c>
      <c r="M418" s="8" t="s">
        <v>2738</v>
      </c>
      <c r="N418" s="8" t="s">
        <v>74</v>
      </c>
      <c r="O418" s="8" t="s">
        <v>93</v>
      </c>
      <c r="P418" s="6" t="s">
        <v>43</v>
      </c>
      <c r="Q418" s="8" t="s">
        <v>44</v>
      </c>
      <c r="R418" s="10" t="s">
        <v>2739</v>
      </c>
      <c r="S418" s="11"/>
      <c r="T418" s="6"/>
      <c r="U418" s="28" t="str">
        <f>HYPERLINK("https://media.infra-m.ru/1876/1876678/cover/1876678.jpg", "Обложка")</f>
        <v>Обложка</v>
      </c>
      <c r="V418" s="28" t="str">
        <f>HYPERLINK("https://znanium.ru/catalog/product/1876678", "Ознакомиться")</f>
        <v>Ознакомиться</v>
      </c>
      <c r="W418" s="8" t="s">
        <v>2740</v>
      </c>
      <c r="X418" s="6"/>
      <c r="Y418" s="6"/>
      <c r="Z418" s="6"/>
      <c r="AA418" s="6" t="s">
        <v>650</v>
      </c>
    </row>
    <row r="419" spans="1:27" s="4" customFormat="1" ht="51.95" customHeight="1">
      <c r="A419" s="5">
        <v>0</v>
      </c>
      <c r="B419" s="6" t="s">
        <v>2741</v>
      </c>
      <c r="C419" s="13">
        <v>500</v>
      </c>
      <c r="D419" s="8" t="s">
        <v>2742</v>
      </c>
      <c r="E419" s="8" t="s">
        <v>2743</v>
      </c>
      <c r="F419" s="8" t="s">
        <v>1796</v>
      </c>
      <c r="G419" s="6" t="s">
        <v>37</v>
      </c>
      <c r="H419" s="6" t="s">
        <v>38</v>
      </c>
      <c r="I419" s="8" t="s">
        <v>39</v>
      </c>
      <c r="J419" s="9">
        <v>1</v>
      </c>
      <c r="K419" s="9">
        <v>128</v>
      </c>
      <c r="L419" s="9">
        <v>2022</v>
      </c>
      <c r="M419" s="8" t="s">
        <v>2744</v>
      </c>
      <c r="N419" s="8" t="s">
        <v>74</v>
      </c>
      <c r="O419" s="8" t="s">
        <v>93</v>
      </c>
      <c r="P419" s="6" t="s">
        <v>43</v>
      </c>
      <c r="Q419" s="8" t="s">
        <v>44</v>
      </c>
      <c r="R419" s="10" t="s">
        <v>94</v>
      </c>
      <c r="S419" s="11"/>
      <c r="T419" s="6"/>
      <c r="U419" s="28" t="str">
        <f>HYPERLINK("https://media.infra-m.ru/1846/1846443/cover/1846443.jpg", "Обложка")</f>
        <v>Обложка</v>
      </c>
      <c r="V419" s="28" t="str">
        <f>HYPERLINK("https://znanium.ru/catalog/product/1846443", "Ознакомиться")</f>
        <v>Ознакомиться</v>
      </c>
      <c r="W419" s="8" t="s">
        <v>402</v>
      </c>
      <c r="X419" s="6"/>
      <c r="Y419" s="6"/>
      <c r="Z419" s="6"/>
      <c r="AA419" s="6" t="s">
        <v>59</v>
      </c>
    </row>
    <row r="420" spans="1:27" s="4" customFormat="1" ht="44.1" customHeight="1">
      <c r="A420" s="5">
        <v>0</v>
      </c>
      <c r="B420" s="6" t="s">
        <v>2745</v>
      </c>
      <c r="C420" s="7">
        <v>1024</v>
      </c>
      <c r="D420" s="8" t="s">
        <v>2746</v>
      </c>
      <c r="E420" s="8" t="s">
        <v>2747</v>
      </c>
      <c r="F420" s="8" t="s">
        <v>2748</v>
      </c>
      <c r="G420" s="6" t="s">
        <v>37</v>
      </c>
      <c r="H420" s="6" t="s">
        <v>38</v>
      </c>
      <c r="I420" s="8" t="s">
        <v>39</v>
      </c>
      <c r="J420" s="9">
        <v>1</v>
      </c>
      <c r="K420" s="9">
        <v>221</v>
      </c>
      <c r="L420" s="9">
        <v>2024</v>
      </c>
      <c r="M420" s="8" t="s">
        <v>2749</v>
      </c>
      <c r="N420" s="8" t="s">
        <v>74</v>
      </c>
      <c r="O420" s="8" t="s">
        <v>75</v>
      </c>
      <c r="P420" s="6" t="s">
        <v>43</v>
      </c>
      <c r="Q420" s="8" t="s">
        <v>44</v>
      </c>
      <c r="R420" s="10" t="s">
        <v>2750</v>
      </c>
      <c r="S420" s="11"/>
      <c r="T420" s="6"/>
      <c r="U420" s="28" t="str">
        <f>HYPERLINK("https://media.infra-m.ru/2140/2140958/cover/2140958.jpg", "Обложка")</f>
        <v>Обложка</v>
      </c>
      <c r="V420" s="28" t="str">
        <f>HYPERLINK("https://znanium.ru/catalog/product/2113311", "Ознакомиться")</f>
        <v>Ознакомиться</v>
      </c>
      <c r="W420" s="8" t="s">
        <v>2751</v>
      </c>
      <c r="X420" s="6"/>
      <c r="Y420" s="6"/>
      <c r="Z420" s="6"/>
      <c r="AA420" s="6" t="s">
        <v>111</v>
      </c>
    </row>
    <row r="421" spans="1:27" s="4" customFormat="1" ht="44.1" customHeight="1">
      <c r="A421" s="5">
        <v>0</v>
      </c>
      <c r="B421" s="6" t="s">
        <v>2752</v>
      </c>
      <c r="C421" s="7">
        <v>1170</v>
      </c>
      <c r="D421" s="8" t="s">
        <v>2753</v>
      </c>
      <c r="E421" s="8" t="s">
        <v>2754</v>
      </c>
      <c r="F421" s="8" t="s">
        <v>2755</v>
      </c>
      <c r="G421" s="6" t="s">
        <v>123</v>
      </c>
      <c r="H421" s="6" t="s">
        <v>38</v>
      </c>
      <c r="I421" s="8" t="s">
        <v>39</v>
      </c>
      <c r="J421" s="9">
        <v>1</v>
      </c>
      <c r="K421" s="9">
        <v>245</v>
      </c>
      <c r="L421" s="9">
        <v>2024</v>
      </c>
      <c r="M421" s="8" t="s">
        <v>2756</v>
      </c>
      <c r="N421" s="8" t="s">
        <v>41</v>
      </c>
      <c r="O421" s="8" t="s">
        <v>65</v>
      </c>
      <c r="P421" s="6" t="s">
        <v>43</v>
      </c>
      <c r="Q421" s="8" t="s">
        <v>44</v>
      </c>
      <c r="R421" s="10" t="s">
        <v>2757</v>
      </c>
      <c r="S421" s="11"/>
      <c r="T421" s="6"/>
      <c r="U421" s="28" t="str">
        <f>HYPERLINK("https://media.infra-m.ru/2110/2110854/cover/2110854.jpg", "Обложка")</f>
        <v>Обложка</v>
      </c>
      <c r="V421" s="28" t="str">
        <f>HYPERLINK("https://znanium.ru/catalog/product/2110854", "Ознакомиться")</f>
        <v>Ознакомиться</v>
      </c>
      <c r="W421" s="8" t="s">
        <v>2758</v>
      </c>
      <c r="X421" s="6" t="s">
        <v>582</v>
      </c>
      <c r="Y421" s="6"/>
      <c r="Z421" s="6"/>
      <c r="AA421" s="6" t="s">
        <v>180</v>
      </c>
    </row>
    <row r="422" spans="1:27" s="4" customFormat="1" ht="51.95" customHeight="1">
      <c r="A422" s="5">
        <v>0</v>
      </c>
      <c r="B422" s="6" t="s">
        <v>2759</v>
      </c>
      <c r="C422" s="13">
        <v>810</v>
      </c>
      <c r="D422" s="8" t="s">
        <v>2760</v>
      </c>
      <c r="E422" s="8" t="s">
        <v>2761</v>
      </c>
      <c r="F422" s="8" t="s">
        <v>2762</v>
      </c>
      <c r="G422" s="6" t="s">
        <v>37</v>
      </c>
      <c r="H422" s="6" t="s">
        <v>38</v>
      </c>
      <c r="I422" s="8" t="s">
        <v>39</v>
      </c>
      <c r="J422" s="9">
        <v>1</v>
      </c>
      <c r="K422" s="9">
        <v>171</v>
      </c>
      <c r="L422" s="9">
        <v>2024</v>
      </c>
      <c r="M422" s="8" t="s">
        <v>2763</v>
      </c>
      <c r="N422" s="8" t="s">
        <v>41</v>
      </c>
      <c r="O422" s="8" t="s">
        <v>54</v>
      </c>
      <c r="P422" s="6" t="s">
        <v>43</v>
      </c>
      <c r="Q422" s="8" t="s">
        <v>44</v>
      </c>
      <c r="R422" s="10" t="s">
        <v>2764</v>
      </c>
      <c r="S422" s="11"/>
      <c r="T422" s="6"/>
      <c r="U422" s="28" t="str">
        <f>HYPERLINK("https://media.infra-m.ru/2086/2086829/cover/2086829.jpg", "Обложка")</f>
        <v>Обложка</v>
      </c>
      <c r="V422" s="28" t="str">
        <f>HYPERLINK("https://znanium.ru/catalog/product/2086829", "Ознакомиться")</f>
        <v>Ознакомиться</v>
      </c>
      <c r="W422" s="8" t="s">
        <v>2765</v>
      </c>
      <c r="X422" s="6"/>
      <c r="Y422" s="6"/>
      <c r="Z422" s="6"/>
      <c r="AA422" s="6" t="s">
        <v>141</v>
      </c>
    </row>
    <row r="423" spans="1:27" s="4" customFormat="1" ht="51.95" customHeight="1">
      <c r="A423" s="5">
        <v>0</v>
      </c>
      <c r="B423" s="6" t="s">
        <v>2766</v>
      </c>
      <c r="C423" s="13">
        <v>832</v>
      </c>
      <c r="D423" s="8" t="s">
        <v>2767</v>
      </c>
      <c r="E423" s="8" t="s">
        <v>2768</v>
      </c>
      <c r="F423" s="8" t="s">
        <v>2769</v>
      </c>
      <c r="G423" s="6" t="s">
        <v>37</v>
      </c>
      <c r="H423" s="6" t="s">
        <v>38</v>
      </c>
      <c r="I423" s="8" t="s">
        <v>2770</v>
      </c>
      <c r="J423" s="9">
        <v>1</v>
      </c>
      <c r="K423" s="9">
        <v>254</v>
      </c>
      <c r="L423" s="9">
        <v>2023</v>
      </c>
      <c r="M423" s="8" t="s">
        <v>2771</v>
      </c>
      <c r="N423" s="8" t="s">
        <v>41</v>
      </c>
      <c r="O423" s="8" t="s">
        <v>65</v>
      </c>
      <c r="P423" s="6" t="s">
        <v>378</v>
      </c>
      <c r="Q423" s="8" t="s">
        <v>44</v>
      </c>
      <c r="R423" s="10" t="s">
        <v>2772</v>
      </c>
      <c r="S423" s="11"/>
      <c r="T423" s="6"/>
      <c r="U423" s="28" t="str">
        <f>HYPERLINK("https://media.infra-m.ru/2016/2016200/cover/2016200.jpg", "Обложка")</f>
        <v>Обложка</v>
      </c>
      <c r="V423" s="28" t="str">
        <f>HYPERLINK("https://znanium.ru/catalog/product/2016200", "Ознакомиться")</f>
        <v>Ознакомиться</v>
      </c>
      <c r="W423" s="8" t="s">
        <v>273</v>
      </c>
      <c r="X423" s="6"/>
      <c r="Y423" s="6"/>
      <c r="Z423" s="6"/>
      <c r="AA423" s="6" t="s">
        <v>1500</v>
      </c>
    </row>
    <row r="424" spans="1:27" s="4" customFormat="1" ht="42" customHeight="1">
      <c r="A424" s="5">
        <v>0</v>
      </c>
      <c r="B424" s="6" t="s">
        <v>2773</v>
      </c>
      <c r="C424" s="13">
        <v>804</v>
      </c>
      <c r="D424" s="8" t="s">
        <v>2774</v>
      </c>
      <c r="E424" s="8" t="s">
        <v>2775</v>
      </c>
      <c r="F424" s="8" t="s">
        <v>2776</v>
      </c>
      <c r="G424" s="6" t="s">
        <v>123</v>
      </c>
      <c r="H424" s="6" t="s">
        <v>38</v>
      </c>
      <c r="I424" s="8" t="s">
        <v>325</v>
      </c>
      <c r="J424" s="9">
        <v>1</v>
      </c>
      <c r="K424" s="9">
        <v>179</v>
      </c>
      <c r="L424" s="9">
        <v>2023</v>
      </c>
      <c r="M424" s="8" t="s">
        <v>2777</v>
      </c>
      <c r="N424" s="8" t="s">
        <v>74</v>
      </c>
      <c r="O424" s="8" t="s">
        <v>93</v>
      </c>
      <c r="P424" s="6" t="s">
        <v>43</v>
      </c>
      <c r="Q424" s="8" t="s">
        <v>44</v>
      </c>
      <c r="R424" s="10" t="s">
        <v>1710</v>
      </c>
      <c r="S424" s="11"/>
      <c r="T424" s="6"/>
      <c r="U424" s="28" t="str">
        <f>HYPERLINK("https://media.infra-m.ru/1859/1859815/cover/1859815.jpg", "Обложка")</f>
        <v>Обложка</v>
      </c>
      <c r="V424" s="12"/>
      <c r="W424" s="8" t="s">
        <v>327</v>
      </c>
      <c r="X424" s="6"/>
      <c r="Y424" s="6"/>
      <c r="Z424" s="6"/>
      <c r="AA424" s="6" t="s">
        <v>68</v>
      </c>
    </row>
    <row r="425" spans="1:27" s="4" customFormat="1" ht="51.95" customHeight="1">
      <c r="A425" s="5">
        <v>0</v>
      </c>
      <c r="B425" s="6" t="s">
        <v>2778</v>
      </c>
      <c r="C425" s="13">
        <v>874</v>
      </c>
      <c r="D425" s="8" t="s">
        <v>2779</v>
      </c>
      <c r="E425" s="8" t="s">
        <v>2780</v>
      </c>
      <c r="F425" s="8" t="s">
        <v>400</v>
      </c>
      <c r="G425" s="6" t="s">
        <v>37</v>
      </c>
      <c r="H425" s="6" t="s">
        <v>38</v>
      </c>
      <c r="I425" s="8" t="s">
        <v>39</v>
      </c>
      <c r="J425" s="9">
        <v>1</v>
      </c>
      <c r="K425" s="9">
        <v>193</v>
      </c>
      <c r="L425" s="9">
        <v>2023</v>
      </c>
      <c r="M425" s="8" t="s">
        <v>2781</v>
      </c>
      <c r="N425" s="8" t="s">
        <v>74</v>
      </c>
      <c r="O425" s="8" t="s">
        <v>93</v>
      </c>
      <c r="P425" s="6" t="s">
        <v>43</v>
      </c>
      <c r="Q425" s="8" t="s">
        <v>44</v>
      </c>
      <c r="R425" s="10" t="s">
        <v>94</v>
      </c>
      <c r="S425" s="11"/>
      <c r="T425" s="6"/>
      <c r="U425" s="28" t="str">
        <f>HYPERLINK("https://media.infra-m.ru/2030/2030865/cover/2030865.jpg", "Обложка")</f>
        <v>Обложка</v>
      </c>
      <c r="V425" s="28" t="str">
        <f>HYPERLINK("https://znanium.ru/catalog/product/2030865", "Ознакомиться")</f>
        <v>Ознакомиться</v>
      </c>
      <c r="W425" s="8" t="s">
        <v>402</v>
      </c>
      <c r="X425" s="6"/>
      <c r="Y425" s="6"/>
      <c r="Z425" s="6"/>
      <c r="AA425" s="6" t="s">
        <v>78</v>
      </c>
    </row>
    <row r="426" spans="1:27" s="4" customFormat="1" ht="44.1" customHeight="1">
      <c r="A426" s="5">
        <v>0</v>
      </c>
      <c r="B426" s="6" t="s">
        <v>2782</v>
      </c>
      <c r="C426" s="13">
        <v>580</v>
      </c>
      <c r="D426" s="8" t="s">
        <v>2783</v>
      </c>
      <c r="E426" s="8" t="s">
        <v>2784</v>
      </c>
      <c r="F426" s="8" t="s">
        <v>432</v>
      </c>
      <c r="G426" s="6" t="s">
        <v>37</v>
      </c>
      <c r="H426" s="6" t="s">
        <v>38</v>
      </c>
      <c r="I426" s="8" t="s">
        <v>39</v>
      </c>
      <c r="J426" s="9">
        <v>1</v>
      </c>
      <c r="K426" s="9">
        <v>137</v>
      </c>
      <c r="L426" s="9">
        <v>2022</v>
      </c>
      <c r="M426" s="8" t="s">
        <v>2785</v>
      </c>
      <c r="N426" s="8" t="s">
        <v>74</v>
      </c>
      <c r="O426" s="8" t="s">
        <v>93</v>
      </c>
      <c r="P426" s="6" t="s">
        <v>43</v>
      </c>
      <c r="Q426" s="8" t="s">
        <v>44</v>
      </c>
      <c r="R426" s="10" t="s">
        <v>2786</v>
      </c>
      <c r="S426" s="11"/>
      <c r="T426" s="6"/>
      <c r="U426" s="28" t="str">
        <f>HYPERLINK("https://media.infra-m.ru/1874/1874581/cover/1874581.jpg", "Обложка")</f>
        <v>Обложка</v>
      </c>
      <c r="V426" s="28" t="str">
        <f>HYPERLINK("https://znanium.ru/catalog/product/1874581", "Ознакомиться")</f>
        <v>Ознакомиться</v>
      </c>
      <c r="W426" s="8" t="s">
        <v>434</v>
      </c>
      <c r="X426" s="6"/>
      <c r="Y426" s="6"/>
      <c r="Z426" s="6"/>
      <c r="AA426" s="6" t="s">
        <v>68</v>
      </c>
    </row>
    <row r="427" spans="1:27" s="4" customFormat="1" ht="51.95" customHeight="1">
      <c r="A427" s="5">
        <v>0</v>
      </c>
      <c r="B427" s="6" t="s">
        <v>2787</v>
      </c>
      <c r="C427" s="13">
        <v>544</v>
      </c>
      <c r="D427" s="8" t="s">
        <v>2788</v>
      </c>
      <c r="E427" s="8" t="s">
        <v>2789</v>
      </c>
      <c r="F427" s="8" t="s">
        <v>400</v>
      </c>
      <c r="G427" s="6" t="s">
        <v>37</v>
      </c>
      <c r="H427" s="6" t="s">
        <v>38</v>
      </c>
      <c r="I427" s="8" t="s">
        <v>39</v>
      </c>
      <c r="J427" s="9">
        <v>1</v>
      </c>
      <c r="K427" s="9">
        <v>118</v>
      </c>
      <c r="L427" s="9">
        <v>2024</v>
      </c>
      <c r="M427" s="8" t="s">
        <v>2790</v>
      </c>
      <c r="N427" s="8" t="s">
        <v>74</v>
      </c>
      <c r="O427" s="8" t="s">
        <v>93</v>
      </c>
      <c r="P427" s="6" t="s">
        <v>43</v>
      </c>
      <c r="Q427" s="8" t="s">
        <v>44</v>
      </c>
      <c r="R427" s="10" t="s">
        <v>94</v>
      </c>
      <c r="S427" s="11"/>
      <c r="T427" s="6"/>
      <c r="U427" s="28" t="str">
        <f>HYPERLINK("https://media.infra-m.ru/2087/2087280/cover/2087280.jpg", "Обложка")</f>
        <v>Обложка</v>
      </c>
      <c r="V427" s="28" t="str">
        <f>HYPERLINK("https://znanium.ru/catalog/product/1852246", "Ознакомиться")</f>
        <v>Ознакомиться</v>
      </c>
      <c r="W427" s="8" t="s">
        <v>402</v>
      </c>
      <c r="X427" s="6"/>
      <c r="Y427" s="6"/>
      <c r="Z427" s="6"/>
      <c r="AA427" s="6" t="s">
        <v>381</v>
      </c>
    </row>
    <row r="428" spans="1:27" s="4" customFormat="1" ht="44.1" customHeight="1">
      <c r="A428" s="5">
        <v>0</v>
      </c>
      <c r="B428" s="6" t="s">
        <v>2791</v>
      </c>
      <c r="C428" s="7">
        <v>1184</v>
      </c>
      <c r="D428" s="8" t="s">
        <v>2792</v>
      </c>
      <c r="E428" s="8" t="s">
        <v>2793</v>
      </c>
      <c r="F428" s="8" t="s">
        <v>2794</v>
      </c>
      <c r="G428" s="6" t="s">
        <v>83</v>
      </c>
      <c r="H428" s="6" t="s">
        <v>38</v>
      </c>
      <c r="I428" s="8" t="s">
        <v>155</v>
      </c>
      <c r="J428" s="9">
        <v>1</v>
      </c>
      <c r="K428" s="9">
        <v>241</v>
      </c>
      <c r="L428" s="9">
        <v>2024</v>
      </c>
      <c r="M428" s="8" t="s">
        <v>2795</v>
      </c>
      <c r="N428" s="8" t="s">
        <v>41</v>
      </c>
      <c r="O428" s="8" t="s">
        <v>54</v>
      </c>
      <c r="P428" s="6" t="s">
        <v>55</v>
      </c>
      <c r="Q428" s="8" t="s">
        <v>177</v>
      </c>
      <c r="R428" s="10" t="s">
        <v>2796</v>
      </c>
      <c r="S428" s="11"/>
      <c r="T428" s="6"/>
      <c r="U428" s="28" t="str">
        <f>HYPERLINK("https://media.infra-m.ru/2148/2148510/cover/2148510.jpg", "Обложка")</f>
        <v>Обложка</v>
      </c>
      <c r="V428" s="28" t="str">
        <f>HYPERLINK("https://znanium.ru/catalog/product/2116743", "Ознакомиться")</f>
        <v>Ознакомиться</v>
      </c>
      <c r="W428" s="8" t="s">
        <v>998</v>
      </c>
      <c r="X428" s="6"/>
      <c r="Y428" s="6"/>
      <c r="Z428" s="6"/>
      <c r="AA428" s="6" t="s">
        <v>111</v>
      </c>
    </row>
    <row r="429" spans="1:27" s="4" customFormat="1" ht="51.95" customHeight="1">
      <c r="A429" s="5">
        <v>0</v>
      </c>
      <c r="B429" s="6" t="s">
        <v>2797</v>
      </c>
      <c r="C429" s="13">
        <v>594</v>
      </c>
      <c r="D429" s="8" t="s">
        <v>2798</v>
      </c>
      <c r="E429" s="8" t="s">
        <v>2799</v>
      </c>
      <c r="F429" s="8" t="s">
        <v>2800</v>
      </c>
      <c r="G429" s="6" t="s">
        <v>37</v>
      </c>
      <c r="H429" s="6" t="s">
        <v>38</v>
      </c>
      <c r="I429" s="8"/>
      <c r="J429" s="9">
        <v>1</v>
      </c>
      <c r="K429" s="9">
        <v>128</v>
      </c>
      <c r="L429" s="9">
        <v>2024</v>
      </c>
      <c r="M429" s="8" t="s">
        <v>2801</v>
      </c>
      <c r="N429" s="8" t="s">
        <v>41</v>
      </c>
      <c r="O429" s="8" t="s">
        <v>65</v>
      </c>
      <c r="P429" s="6" t="s">
        <v>984</v>
      </c>
      <c r="Q429" s="8" t="s">
        <v>44</v>
      </c>
      <c r="R429" s="10" t="s">
        <v>239</v>
      </c>
      <c r="S429" s="11"/>
      <c r="T429" s="6"/>
      <c r="U429" s="28" t="str">
        <f>HYPERLINK("https://media.infra-m.ru/2118/2118736/cover/2118736.jpg", "Обложка")</f>
        <v>Обложка</v>
      </c>
      <c r="V429" s="28" t="str">
        <f>HYPERLINK("https://znanium.ru/catalog/product/2083362", "Ознакомиться")</f>
        <v>Ознакомиться</v>
      </c>
      <c r="W429" s="8" t="s">
        <v>2802</v>
      </c>
      <c r="X429" s="6"/>
      <c r="Y429" s="6"/>
      <c r="Z429" s="6"/>
      <c r="AA429" s="6" t="s">
        <v>68</v>
      </c>
    </row>
    <row r="430" spans="1:27" s="4" customFormat="1" ht="51.95" customHeight="1">
      <c r="A430" s="5">
        <v>0</v>
      </c>
      <c r="B430" s="6" t="s">
        <v>2803</v>
      </c>
      <c r="C430" s="7">
        <v>1150</v>
      </c>
      <c r="D430" s="8" t="s">
        <v>2804</v>
      </c>
      <c r="E430" s="8" t="s">
        <v>2805</v>
      </c>
      <c r="F430" s="8" t="s">
        <v>2806</v>
      </c>
      <c r="G430" s="6" t="s">
        <v>123</v>
      </c>
      <c r="H430" s="6" t="s">
        <v>725</v>
      </c>
      <c r="I430" s="8"/>
      <c r="J430" s="9">
        <v>1</v>
      </c>
      <c r="K430" s="9">
        <v>528</v>
      </c>
      <c r="L430" s="9">
        <v>2018</v>
      </c>
      <c r="M430" s="8" t="s">
        <v>2807</v>
      </c>
      <c r="N430" s="8" t="s">
        <v>41</v>
      </c>
      <c r="O430" s="8" t="s">
        <v>65</v>
      </c>
      <c r="P430" s="6" t="s">
        <v>43</v>
      </c>
      <c r="Q430" s="8" t="s">
        <v>44</v>
      </c>
      <c r="R430" s="10" t="s">
        <v>2808</v>
      </c>
      <c r="S430" s="11"/>
      <c r="T430" s="6"/>
      <c r="U430" s="28" t="str">
        <f>HYPERLINK("https://media.infra-m.ru/0910/0910416/cover/910416.jpg", "Обложка")</f>
        <v>Обложка</v>
      </c>
      <c r="V430" s="28" t="str">
        <f>HYPERLINK("https://znanium.ru/catalog/product/910416", "Ознакомиться")</f>
        <v>Ознакомиться</v>
      </c>
      <c r="W430" s="8" t="s">
        <v>1302</v>
      </c>
      <c r="X430" s="6"/>
      <c r="Y430" s="6"/>
      <c r="Z430" s="6"/>
      <c r="AA430" s="6" t="s">
        <v>290</v>
      </c>
    </row>
    <row r="431" spans="1:27" s="4" customFormat="1" ht="44.1" customHeight="1">
      <c r="A431" s="5">
        <v>0</v>
      </c>
      <c r="B431" s="6" t="s">
        <v>2809</v>
      </c>
      <c r="C431" s="13">
        <v>934.9</v>
      </c>
      <c r="D431" s="8" t="s">
        <v>2810</v>
      </c>
      <c r="E431" s="8" t="s">
        <v>2811</v>
      </c>
      <c r="F431" s="8" t="s">
        <v>2812</v>
      </c>
      <c r="G431" s="6" t="s">
        <v>123</v>
      </c>
      <c r="H431" s="6" t="s">
        <v>470</v>
      </c>
      <c r="I431" s="8" t="s">
        <v>1040</v>
      </c>
      <c r="J431" s="9">
        <v>1</v>
      </c>
      <c r="K431" s="9">
        <v>207</v>
      </c>
      <c r="L431" s="9">
        <v>2023</v>
      </c>
      <c r="M431" s="8" t="s">
        <v>2813</v>
      </c>
      <c r="N431" s="8" t="s">
        <v>41</v>
      </c>
      <c r="O431" s="8" t="s">
        <v>42</v>
      </c>
      <c r="P431" s="6" t="s">
        <v>43</v>
      </c>
      <c r="Q431" s="8" t="s">
        <v>44</v>
      </c>
      <c r="R431" s="10" t="s">
        <v>2814</v>
      </c>
      <c r="S431" s="11"/>
      <c r="T431" s="6"/>
      <c r="U431" s="28" t="str">
        <f>HYPERLINK("https://media.infra-m.ru/1914/1914094/cover/1914094.jpg", "Обложка")</f>
        <v>Обложка</v>
      </c>
      <c r="V431" s="28" t="str">
        <f>HYPERLINK("https://znanium.ru/catalog/product/1914094", "Ознакомиться")</f>
        <v>Ознакомиться</v>
      </c>
      <c r="W431" s="8" t="s">
        <v>140</v>
      </c>
      <c r="X431" s="6"/>
      <c r="Y431" s="6"/>
      <c r="Z431" s="6"/>
      <c r="AA431" s="6" t="s">
        <v>47</v>
      </c>
    </row>
    <row r="432" spans="1:27" s="4" customFormat="1" ht="51.95" customHeight="1">
      <c r="A432" s="5">
        <v>0</v>
      </c>
      <c r="B432" s="6" t="s">
        <v>2815</v>
      </c>
      <c r="C432" s="13">
        <v>770</v>
      </c>
      <c r="D432" s="8" t="s">
        <v>2816</v>
      </c>
      <c r="E432" s="8" t="s">
        <v>2817</v>
      </c>
      <c r="F432" s="8" t="s">
        <v>2818</v>
      </c>
      <c r="G432" s="6" t="s">
        <v>83</v>
      </c>
      <c r="H432" s="6" t="s">
        <v>38</v>
      </c>
      <c r="I432" s="8" t="s">
        <v>155</v>
      </c>
      <c r="J432" s="9">
        <v>1</v>
      </c>
      <c r="K432" s="9">
        <v>163</v>
      </c>
      <c r="L432" s="9">
        <v>2024</v>
      </c>
      <c r="M432" s="8" t="s">
        <v>2819</v>
      </c>
      <c r="N432" s="8" t="s">
        <v>41</v>
      </c>
      <c r="O432" s="8" t="s">
        <v>54</v>
      </c>
      <c r="P432" s="6" t="s">
        <v>55</v>
      </c>
      <c r="Q432" s="8" t="s">
        <v>56</v>
      </c>
      <c r="R432" s="10" t="s">
        <v>2820</v>
      </c>
      <c r="S432" s="11" t="s">
        <v>2821</v>
      </c>
      <c r="T432" s="6"/>
      <c r="U432" s="28" t="str">
        <f>HYPERLINK("https://media.infra-m.ru/2083/2083896/cover/2083896.jpg", "Обложка")</f>
        <v>Обложка</v>
      </c>
      <c r="V432" s="28" t="str">
        <f>HYPERLINK("https://znanium.ru/catalog/product/2083896", "Ознакомиться")</f>
        <v>Ознакомиться</v>
      </c>
      <c r="W432" s="8" t="s">
        <v>2608</v>
      </c>
      <c r="X432" s="6"/>
      <c r="Y432" s="6"/>
      <c r="Z432" s="6"/>
      <c r="AA432" s="6" t="s">
        <v>68</v>
      </c>
    </row>
    <row r="433" spans="1:27" s="4" customFormat="1" ht="51.95" customHeight="1">
      <c r="A433" s="5">
        <v>0</v>
      </c>
      <c r="B433" s="6" t="s">
        <v>2822</v>
      </c>
      <c r="C433" s="13">
        <v>450</v>
      </c>
      <c r="D433" s="8" t="s">
        <v>2823</v>
      </c>
      <c r="E433" s="8" t="s">
        <v>2824</v>
      </c>
      <c r="F433" s="8" t="s">
        <v>2818</v>
      </c>
      <c r="G433" s="6" t="s">
        <v>37</v>
      </c>
      <c r="H433" s="6" t="s">
        <v>38</v>
      </c>
      <c r="I433" s="8" t="s">
        <v>155</v>
      </c>
      <c r="J433" s="9">
        <v>1</v>
      </c>
      <c r="K433" s="9">
        <v>95</v>
      </c>
      <c r="L433" s="9">
        <v>2024</v>
      </c>
      <c r="M433" s="8" t="s">
        <v>2825</v>
      </c>
      <c r="N433" s="8" t="s">
        <v>41</v>
      </c>
      <c r="O433" s="8" t="s">
        <v>54</v>
      </c>
      <c r="P433" s="6" t="s">
        <v>55</v>
      </c>
      <c r="Q433" s="8" t="s">
        <v>56</v>
      </c>
      <c r="R433" s="10" t="s">
        <v>2826</v>
      </c>
      <c r="S433" s="11" t="s">
        <v>2827</v>
      </c>
      <c r="T433" s="6"/>
      <c r="U433" s="28" t="str">
        <f>HYPERLINK("https://media.infra-m.ru/2147/2147926/cover/2147926.jpg", "Обложка")</f>
        <v>Обложка</v>
      </c>
      <c r="V433" s="28" t="str">
        <f>HYPERLINK("https://znanium.ru/catalog/product/2147926", "Ознакомиться")</f>
        <v>Ознакомиться</v>
      </c>
      <c r="W433" s="8" t="s">
        <v>2608</v>
      </c>
      <c r="X433" s="6"/>
      <c r="Y433" s="6"/>
      <c r="Z433" s="6"/>
      <c r="AA433" s="6" t="s">
        <v>381</v>
      </c>
    </row>
    <row r="434" spans="1:27" s="4" customFormat="1" ht="42" customHeight="1">
      <c r="A434" s="5">
        <v>0</v>
      </c>
      <c r="B434" s="6" t="s">
        <v>2828</v>
      </c>
      <c r="C434" s="7">
        <v>1660</v>
      </c>
      <c r="D434" s="8" t="s">
        <v>2829</v>
      </c>
      <c r="E434" s="8" t="s">
        <v>2830</v>
      </c>
      <c r="F434" s="8" t="s">
        <v>2831</v>
      </c>
      <c r="G434" s="6" t="s">
        <v>83</v>
      </c>
      <c r="H434" s="6" t="s">
        <v>38</v>
      </c>
      <c r="I434" s="8" t="s">
        <v>325</v>
      </c>
      <c r="J434" s="9">
        <v>1</v>
      </c>
      <c r="K434" s="9">
        <v>360</v>
      </c>
      <c r="L434" s="9">
        <v>2024</v>
      </c>
      <c r="M434" s="8" t="s">
        <v>2832</v>
      </c>
      <c r="N434" s="8" t="s">
        <v>41</v>
      </c>
      <c r="O434" s="8" t="s">
        <v>54</v>
      </c>
      <c r="P434" s="6" t="s">
        <v>43</v>
      </c>
      <c r="Q434" s="8" t="s">
        <v>44</v>
      </c>
      <c r="R434" s="10" t="s">
        <v>2833</v>
      </c>
      <c r="S434" s="11"/>
      <c r="T434" s="6"/>
      <c r="U434" s="28" t="str">
        <f>HYPERLINK("https://media.infra-m.ru/2125/2125129/cover/2125129.jpg", "Обложка")</f>
        <v>Обложка</v>
      </c>
      <c r="V434" s="12"/>
      <c r="W434" s="8" t="s">
        <v>327</v>
      </c>
      <c r="X434" s="6"/>
      <c r="Y434" s="6"/>
      <c r="Z434" s="6"/>
      <c r="AA434" s="6" t="s">
        <v>68</v>
      </c>
    </row>
    <row r="435" spans="1:27" s="4" customFormat="1" ht="42" customHeight="1">
      <c r="A435" s="5">
        <v>0</v>
      </c>
      <c r="B435" s="6" t="s">
        <v>2834</v>
      </c>
      <c r="C435" s="7">
        <v>1840</v>
      </c>
      <c r="D435" s="8" t="s">
        <v>2835</v>
      </c>
      <c r="E435" s="8" t="s">
        <v>2836</v>
      </c>
      <c r="F435" s="8" t="s">
        <v>2837</v>
      </c>
      <c r="G435" s="6" t="s">
        <v>123</v>
      </c>
      <c r="H435" s="6" t="s">
        <v>52</v>
      </c>
      <c r="I435" s="8"/>
      <c r="J435" s="9">
        <v>1</v>
      </c>
      <c r="K435" s="9">
        <v>401</v>
      </c>
      <c r="L435" s="9">
        <v>2023</v>
      </c>
      <c r="M435" s="8" t="s">
        <v>2838</v>
      </c>
      <c r="N435" s="8" t="s">
        <v>74</v>
      </c>
      <c r="O435" s="8" t="s">
        <v>75</v>
      </c>
      <c r="P435" s="6" t="s">
        <v>960</v>
      </c>
      <c r="Q435" s="8" t="s">
        <v>56</v>
      </c>
      <c r="R435" s="10" t="s">
        <v>57</v>
      </c>
      <c r="S435" s="11"/>
      <c r="T435" s="6"/>
      <c r="U435" s="28" t="str">
        <f>HYPERLINK("https://media.infra-m.ru/2129/2129597/cover/2129597.jpg", "Обложка")</f>
        <v>Обложка</v>
      </c>
      <c r="V435" s="12"/>
      <c r="W435" s="8" t="s">
        <v>2839</v>
      </c>
      <c r="X435" s="6"/>
      <c r="Y435" s="6"/>
      <c r="Z435" s="6"/>
      <c r="AA435" s="6" t="s">
        <v>47</v>
      </c>
    </row>
    <row r="436" spans="1:27" s="4" customFormat="1" ht="51.95" customHeight="1">
      <c r="A436" s="5">
        <v>0</v>
      </c>
      <c r="B436" s="6" t="s">
        <v>2840</v>
      </c>
      <c r="C436" s="7">
        <v>1480</v>
      </c>
      <c r="D436" s="8" t="s">
        <v>2841</v>
      </c>
      <c r="E436" s="8" t="s">
        <v>2836</v>
      </c>
      <c r="F436" s="8" t="s">
        <v>2837</v>
      </c>
      <c r="G436" s="6" t="s">
        <v>83</v>
      </c>
      <c r="H436" s="6" t="s">
        <v>52</v>
      </c>
      <c r="I436" s="8" t="s">
        <v>205</v>
      </c>
      <c r="J436" s="9">
        <v>1</v>
      </c>
      <c r="K436" s="9">
        <v>401</v>
      </c>
      <c r="L436" s="9">
        <v>2021</v>
      </c>
      <c r="M436" s="8" t="s">
        <v>2842</v>
      </c>
      <c r="N436" s="8" t="s">
        <v>74</v>
      </c>
      <c r="O436" s="8" t="s">
        <v>75</v>
      </c>
      <c r="P436" s="6" t="s">
        <v>1604</v>
      </c>
      <c r="Q436" s="8" t="s">
        <v>207</v>
      </c>
      <c r="R436" s="10" t="s">
        <v>2843</v>
      </c>
      <c r="S436" s="11" t="s">
        <v>2844</v>
      </c>
      <c r="T436" s="6"/>
      <c r="U436" s="28" t="str">
        <f>HYPERLINK("https://media.infra-m.ru/1567/1567549/cover/1567549.jpg", "Обложка")</f>
        <v>Обложка</v>
      </c>
      <c r="V436" s="28" t="str">
        <f>HYPERLINK("https://znanium.ru/catalog/product/1567549", "Ознакомиться")</f>
        <v>Ознакомиться</v>
      </c>
      <c r="W436" s="8" t="s">
        <v>2839</v>
      </c>
      <c r="X436" s="6"/>
      <c r="Y436" s="6"/>
      <c r="Z436" s="6" t="s">
        <v>235</v>
      </c>
      <c r="AA436" s="6" t="s">
        <v>141</v>
      </c>
    </row>
    <row r="437" spans="1:27" s="4" customFormat="1" ht="51.95" customHeight="1">
      <c r="A437" s="5">
        <v>0</v>
      </c>
      <c r="B437" s="6" t="s">
        <v>2845</v>
      </c>
      <c r="C437" s="7">
        <v>2290</v>
      </c>
      <c r="D437" s="8" t="s">
        <v>2846</v>
      </c>
      <c r="E437" s="8" t="s">
        <v>2847</v>
      </c>
      <c r="F437" s="8" t="s">
        <v>2848</v>
      </c>
      <c r="G437" s="6" t="s">
        <v>123</v>
      </c>
      <c r="H437" s="6" t="s">
        <v>38</v>
      </c>
      <c r="I437" s="8" t="s">
        <v>205</v>
      </c>
      <c r="J437" s="9">
        <v>1</v>
      </c>
      <c r="K437" s="9">
        <v>526</v>
      </c>
      <c r="L437" s="9">
        <v>2023</v>
      </c>
      <c r="M437" s="8" t="s">
        <v>2849</v>
      </c>
      <c r="N437" s="8" t="s">
        <v>74</v>
      </c>
      <c r="O437" s="8" t="s">
        <v>75</v>
      </c>
      <c r="P437" s="6" t="s">
        <v>55</v>
      </c>
      <c r="Q437" s="8" t="s">
        <v>207</v>
      </c>
      <c r="R437" s="10" t="s">
        <v>2850</v>
      </c>
      <c r="S437" s="11" t="s">
        <v>2851</v>
      </c>
      <c r="T437" s="6"/>
      <c r="U437" s="28" t="str">
        <f>HYPERLINK("https://media.infra-m.ru/1871/1871923/cover/1871923.jpg", "Обложка")</f>
        <v>Обложка</v>
      </c>
      <c r="V437" s="28" t="str">
        <f>HYPERLINK("https://znanium.ru/catalog/product/1871923", "Ознакомиться")</f>
        <v>Ознакомиться</v>
      </c>
      <c r="W437" s="8" t="s">
        <v>2726</v>
      </c>
      <c r="X437" s="6"/>
      <c r="Y437" s="6"/>
      <c r="Z437" s="6" t="s">
        <v>235</v>
      </c>
      <c r="AA437" s="6" t="s">
        <v>111</v>
      </c>
    </row>
    <row r="438" spans="1:27" s="4" customFormat="1" ht="51.95" customHeight="1">
      <c r="A438" s="5">
        <v>0</v>
      </c>
      <c r="B438" s="6" t="s">
        <v>2852</v>
      </c>
      <c r="C438" s="7">
        <v>2420</v>
      </c>
      <c r="D438" s="8" t="s">
        <v>2853</v>
      </c>
      <c r="E438" s="8" t="s">
        <v>2847</v>
      </c>
      <c r="F438" s="8" t="s">
        <v>2848</v>
      </c>
      <c r="G438" s="6" t="s">
        <v>123</v>
      </c>
      <c r="H438" s="6" t="s">
        <v>38</v>
      </c>
      <c r="I438" s="8" t="s">
        <v>164</v>
      </c>
      <c r="J438" s="9">
        <v>1</v>
      </c>
      <c r="K438" s="9">
        <v>526</v>
      </c>
      <c r="L438" s="9">
        <v>2023</v>
      </c>
      <c r="M438" s="8" t="s">
        <v>2854</v>
      </c>
      <c r="N438" s="8" t="s">
        <v>74</v>
      </c>
      <c r="O438" s="8" t="s">
        <v>75</v>
      </c>
      <c r="P438" s="6" t="s">
        <v>55</v>
      </c>
      <c r="Q438" s="8" t="s">
        <v>56</v>
      </c>
      <c r="R438" s="10" t="s">
        <v>2850</v>
      </c>
      <c r="S438" s="11" t="s">
        <v>2855</v>
      </c>
      <c r="T438" s="6"/>
      <c r="U438" s="28" t="str">
        <f>HYPERLINK("https://media.infra-m.ru/1983/1983273/cover/1983273.jpg", "Обложка")</f>
        <v>Обложка</v>
      </c>
      <c r="V438" s="28" t="str">
        <f>HYPERLINK("https://znanium.ru/catalog/product/1983273", "Ознакомиться")</f>
        <v>Ознакомиться</v>
      </c>
      <c r="W438" s="8" t="s">
        <v>2726</v>
      </c>
      <c r="X438" s="6"/>
      <c r="Y438" s="6"/>
      <c r="Z438" s="6"/>
      <c r="AA438" s="6" t="s">
        <v>103</v>
      </c>
    </row>
    <row r="439" spans="1:27" s="4" customFormat="1" ht="51.95" customHeight="1">
      <c r="A439" s="5">
        <v>0</v>
      </c>
      <c r="B439" s="6" t="s">
        <v>2856</v>
      </c>
      <c r="C439" s="7">
        <v>2094.9</v>
      </c>
      <c r="D439" s="8" t="s">
        <v>2857</v>
      </c>
      <c r="E439" s="8" t="s">
        <v>2858</v>
      </c>
      <c r="F439" s="8" t="s">
        <v>2859</v>
      </c>
      <c r="G439" s="6" t="s">
        <v>123</v>
      </c>
      <c r="H439" s="6" t="s">
        <v>618</v>
      </c>
      <c r="I439" s="8"/>
      <c r="J439" s="9">
        <v>1</v>
      </c>
      <c r="K439" s="9">
        <v>560</v>
      </c>
      <c r="L439" s="9">
        <v>2022</v>
      </c>
      <c r="M439" s="8" t="s">
        <v>2860</v>
      </c>
      <c r="N439" s="8" t="s">
        <v>74</v>
      </c>
      <c r="O439" s="8" t="s">
        <v>75</v>
      </c>
      <c r="P439" s="6" t="s">
        <v>176</v>
      </c>
      <c r="Q439" s="8" t="s">
        <v>56</v>
      </c>
      <c r="R439" s="10" t="s">
        <v>2861</v>
      </c>
      <c r="S439" s="11" t="s">
        <v>2862</v>
      </c>
      <c r="T439" s="6"/>
      <c r="U439" s="28" t="str">
        <f>HYPERLINK("https://media.infra-m.ru/1877/1877450/cover/1877450.jpg", "Обложка")</f>
        <v>Обложка</v>
      </c>
      <c r="V439" s="28" t="str">
        <f>HYPERLINK("https://znanium.ru/catalog/product/1088887", "Ознакомиться")</f>
        <v>Ознакомиться</v>
      </c>
      <c r="W439" s="8" t="s">
        <v>1547</v>
      </c>
      <c r="X439" s="6"/>
      <c r="Y439" s="6"/>
      <c r="Z439" s="6"/>
      <c r="AA439" s="6" t="s">
        <v>2863</v>
      </c>
    </row>
    <row r="440" spans="1:27" s="4" customFormat="1" ht="51.95" customHeight="1">
      <c r="A440" s="5">
        <v>0</v>
      </c>
      <c r="B440" s="6" t="s">
        <v>2864</v>
      </c>
      <c r="C440" s="7">
        <v>1170</v>
      </c>
      <c r="D440" s="8" t="s">
        <v>2865</v>
      </c>
      <c r="E440" s="8" t="s">
        <v>2866</v>
      </c>
      <c r="F440" s="8" t="s">
        <v>2867</v>
      </c>
      <c r="G440" s="6" t="s">
        <v>83</v>
      </c>
      <c r="H440" s="6" t="s">
        <v>38</v>
      </c>
      <c r="I440" s="8" t="s">
        <v>155</v>
      </c>
      <c r="J440" s="9">
        <v>1</v>
      </c>
      <c r="K440" s="9">
        <v>247</v>
      </c>
      <c r="L440" s="9">
        <v>2024</v>
      </c>
      <c r="M440" s="8" t="s">
        <v>2868</v>
      </c>
      <c r="N440" s="8" t="s">
        <v>41</v>
      </c>
      <c r="O440" s="8" t="s">
        <v>54</v>
      </c>
      <c r="P440" s="6" t="s">
        <v>55</v>
      </c>
      <c r="Q440" s="8" t="s">
        <v>56</v>
      </c>
      <c r="R440" s="10" t="s">
        <v>2869</v>
      </c>
      <c r="S440" s="11" t="s">
        <v>2870</v>
      </c>
      <c r="T440" s="6" t="s">
        <v>190</v>
      </c>
      <c r="U440" s="28" t="str">
        <f>HYPERLINK("https://media.infra-m.ru/2140/2140959/cover/2140959.jpg", "Обложка")</f>
        <v>Обложка</v>
      </c>
      <c r="V440" s="28" t="str">
        <f>HYPERLINK("https://znanium.ru/catalog/product/2140959", "Ознакомиться")</f>
        <v>Ознакомиться</v>
      </c>
      <c r="W440" s="8" t="s">
        <v>1883</v>
      </c>
      <c r="X440" s="6"/>
      <c r="Y440" s="6"/>
      <c r="Z440" s="6"/>
      <c r="AA440" s="6" t="s">
        <v>169</v>
      </c>
    </row>
    <row r="441" spans="1:27" s="4" customFormat="1" ht="42" customHeight="1">
      <c r="A441" s="5">
        <v>0</v>
      </c>
      <c r="B441" s="6" t="s">
        <v>2871</v>
      </c>
      <c r="C441" s="13">
        <v>554</v>
      </c>
      <c r="D441" s="8" t="s">
        <v>2872</v>
      </c>
      <c r="E441" s="8" t="s">
        <v>2873</v>
      </c>
      <c r="F441" s="8" t="s">
        <v>2874</v>
      </c>
      <c r="G441" s="6" t="s">
        <v>37</v>
      </c>
      <c r="H441" s="6" t="s">
        <v>38</v>
      </c>
      <c r="I441" s="8" t="s">
        <v>39</v>
      </c>
      <c r="J441" s="9">
        <v>1</v>
      </c>
      <c r="K441" s="9">
        <v>120</v>
      </c>
      <c r="L441" s="9">
        <v>2023</v>
      </c>
      <c r="M441" s="8" t="s">
        <v>2875</v>
      </c>
      <c r="N441" s="8" t="s">
        <v>74</v>
      </c>
      <c r="O441" s="8" t="s">
        <v>75</v>
      </c>
      <c r="P441" s="6" t="s">
        <v>43</v>
      </c>
      <c r="Q441" s="8" t="s">
        <v>44</v>
      </c>
      <c r="R441" s="10" t="s">
        <v>2876</v>
      </c>
      <c r="S441" s="11"/>
      <c r="T441" s="6"/>
      <c r="U441" s="28" t="str">
        <f>HYPERLINK("https://media.infra-m.ru/2006/2006886/cover/2006886.jpg", "Обложка")</f>
        <v>Обложка</v>
      </c>
      <c r="V441" s="28" t="str">
        <f>HYPERLINK("https://znanium.ru/catalog/product/967570", "Ознакомиться")</f>
        <v>Ознакомиться</v>
      </c>
      <c r="W441" s="8"/>
      <c r="X441" s="6"/>
      <c r="Y441" s="6"/>
      <c r="Z441" s="6"/>
      <c r="AA441" s="6" t="s">
        <v>768</v>
      </c>
    </row>
    <row r="442" spans="1:27" s="4" customFormat="1" ht="42" customHeight="1">
      <c r="A442" s="5">
        <v>0</v>
      </c>
      <c r="B442" s="6" t="s">
        <v>2877</v>
      </c>
      <c r="C442" s="7">
        <v>1520</v>
      </c>
      <c r="D442" s="8" t="s">
        <v>2878</v>
      </c>
      <c r="E442" s="8" t="s">
        <v>2879</v>
      </c>
      <c r="F442" s="8" t="s">
        <v>2880</v>
      </c>
      <c r="G442" s="6" t="s">
        <v>83</v>
      </c>
      <c r="H442" s="6" t="s">
        <v>317</v>
      </c>
      <c r="I442" s="8" t="s">
        <v>155</v>
      </c>
      <c r="J442" s="9">
        <v>1</v>
      </c>
      <c r="K442" s="9">
        <v>336</v>
      </c>
      <c r="L442" s="9">
        <v>2023</v>
      </c>
      <c r="M442" s="8" t="s">
        <v>2881</v>
      </c>
      <c r="N442" s="8" t="s">
        <v>41</v>
      </c>
      <c r="O442" s="8" t="s">
        <v>54</v>
      </c>
      <c r="P442" s="6" t="s">
        <v>55</v>
      </c>
      <c r="Q442" s="8" t="s">
        <v>177</v>
      </c>
      <c r="R442" s="10" t="s">
        <v>2882</v>
      </c>
      <c r="S442" s="11"/>
      <c r="T442" s="6"/>
      <c r="U442" s="28" t="str">
        <f>HYPERLINK("https://media.infra-m.ru/2017/2017240/cover/2017240.jpg", "Обложка")</f>
        <v>Обложка</v>
      </c>
      <c r="V442" s="28" t="str">
        <f>HYPERLINK("https://znanium.ru/catalog/product/2017240", "Ознакомиться")</f>
        <v>Ознакомиться</v>
      </c>
      <c r="W442" s="8" t="s">
        <v>2883</v>
      </c>
      <c r="X442" s="6"/>
      <c r="Y442" s="6"/>
      <c r="Z442" s="6"/>
      <c r="AA442" s="6" t="s">
        <v>68</v>
      </c>
    </row>
    <row r="443" spans="1:27" s="4" customFormat="1" ht="51.95" customHeight="1">
      <c r="A443" s="5">
        <v>0</v>
      </c>
      <c r="B443" s="6" t="s">
        <v>2884</v>
      </c>
      <c r="C443" s="7">
        <v>2010</v>
      </c>
      <c r="D443" s="8" t="s">
        <v>2885</v>
      </c>
      <c r="E443" s="8" t="s">
        <v>2886</v>
      </c>
      <c r="F443" s="8" t="s">
        <v>2887</v>
      </c>
      <c r="G443" s="6" t="s">
        <v>123</v>
      </c>
      <c r="H443" s="6" t="s">
        <v>470</v>
      </c>
      <c r="I443" s="8" t="s">
        <v>2888</v>
      </c>
      <c r="J443" s="9">
        <v>1</v>
      </c>
      <c r="K443" s="9">
        <v>435</v>
      </c>
      <c r="L443" s="9">
        <v>2024</v>
      </c>
      <c r="M443" s="8" t="s">
        <v>2889</v>
      </c>
      <c r="N443" s="8" t="s">
        <v>41</v>
      </c>
      <c r="O443" s="8" t="s">
        <v>54</v>
      </c>
      <c r="P443" s="6" t="s">
        <v>176</v>
      </c>
      <c r="Q443" s="8" t="s">
        <v>56</v>
      </c>
      <c r="R443" s="10" t="s">
        <v>2882</v>
      </c>
      <c r="S443" s="11" t="s">
        <v>2890</v>
      </c>
      <c r="T443" s="6"/>
      <c r="U443" s="28" t="str">
        <f>HYPERLINK("https://media.infra-m.ru/2112/2112515/cover/2112515.jpg", "Обложка")</f>
        <v>Обложка</v>
      </c>
      <c r="V443" s="28" t="str">
        <f>HYPERLINK("https://znanium.ru/catalog/product/2112515", "Ознакомиться")</f>
        <v>Ознакомиться</v>
      </c>
      <c r="W443" s="8" t="s">
        <v>140</v>
      </c>
      <c r="X443" s="6"/>
      <c r="Y443" s="6"/>
      <c r="Z443" s="6"/>
      <c r="AA443" s="6" t="s">
        <v>768</v>
      </c>
    </row>
    <row r="444" spans="1:27" s="4" customFormat="1" ht="51.95" customHeight="1">
      <c r="A444" s="5">
        <v>0</v>
      </c>
      <c r="B444" s="6" t="s">
        <v>2891</v>
      </c>
      <c r="C444" s="7">
        <v>1314.9</v>
      </c>
      <c r="D444" s="8" t="s">
        <v>2892</v>
      </c>
      <c r="E444" s="8" t="s">
        <v>2879</v>
      </c>
      <c r="F444" s="8" t="s">
        <v>2812</v>
      </c>
      <c r="G444" s="6" t="s">
        <v>123</v>
      </c>
      <c r="H444" s="6" t="s">
        <v>470</v>
      </c>
      <c r="I444" s="8" t="s">
        <v>470</v>
      </c>
      <c r="J444" s="9">
        <v>1</v>
      </c>
      <c r="K444" s="9">
        <v>411</v>
      </c>
      <c r="L444" s="9">
        <v>2019</v>
      </c>
      <c r="M444" s="8" t="s">
        <v>2893</v>
      </c>
      <c r="N444" s="8" t="s">
        <v>41</v>
      </c>
      <c r="O444" s="8" t="s">
        <v>54</v>
      </c>
      <c r="P444" s="6" t="s">
        <v>176</v>
      </c>
      <c r="Q444" s="8" t="s">
        <v>56</v>
      </c>
      <c r="R444" s="10" t="s">
        <v>2882</v>
      </c>
      <c r="S444" s="11" t="s">
        <v>2894</v>
      </c>
      <c r="T444" s="6"/>
      <c r="U444" s="28" t="str">
        <f>HYPERLINK("https://media.infra-m.ru/0991/0991847/cover/991847.jpg", "Обложка")</f>
        <v>Обложка</v>
      </c>
      <c r="V444" s="28" t="str">
        <f>HYPERLINK("https://znanium.ru/catalog/product/2112515", "Ознакомиться")</f>
        <v>Ознакомиться</v>
      </c>
      <c r="W444" s="8" t="s">
        <v>140</v>
      </c>
      <c r="X444" s="6"/>
      <c r="Y444" s="6"/>
      <c r="Z444" s="6"/>
      <c r="AA444" s="6" t="s">
        <v>2895</v>
      </c>
    </row>
    <row r="445" spans="1:27" s="4" customFormat="1" ht="42" customHeight="1">
      <c r="A445" s="5">
        <v>0</v>
      </c>
      <c r="B445" s="6" t="s">
        <v>2896</v>
      </c>
      <c r="C445" s="7">
        <v>1130</v>
      </c>
      <c r="D445" s="8" t="s">
        <v>2897</v>
      </c>
      <c r="E445" s="8" t="s">
        <v>2886</v>
      </c>
      <c r="F445" s="8" t="s">
        <v>2898</v>
      </c>
      <c r="G445" s="6" t="s">
        <v>83</v>
      </c>
      <c r="H445" s="6" t="s">
        <v>38</v>
      </c>
      <c r="I445" s="8" t="s">
        <v>155</v>
      </c>
      <c r="J445" s="9">
        <v>1</v>
      </c>
      <c r="K445" s="9">
        <v>239</v>
      </c>
      <c r="L445" s="9">
        <v>2024</v>
      </c>
      <c r="M445" s="8" t="s">
        <v>2899</v>
      </c>
      <c r="N445" s="8" t="s">
        <v>41</v>
      </c>
      <c r="O445" s="8" t="s">
        <v>54</v>
      </c>
      <c r="P445" s="6" t="s">
        <v>176</v>
      </c>
      <c r="Q445" s="8" t="s">
        <v>56</v>
      </c>
      <c r="R445" s="10" t="s">
        <v>2882</v>
      </c>
      <c r="S445" s="11"/>
      <c r="T445" s="6" t="s">
        <v>190</v>
      </c>
      <c r="U445" s="28" t="str">
        <f>HYPERLINK("https://media.infra-m.ru/2141/2141106/cover/2141106.jpg", "Обложка")</f>
        <v>Обложка</v>
      </c>
      <c r="V445" s="28" t="str">
        <f>HYPERLINK("https://znanium.ru/catalog/product/2141106", "Ознакомиться")</f>
        <v>Ознакомиться</v>
      </c>
      <c r="W445" s="8" t="s">
        <v>2900</v>
      </c>
      <c r="X445" s="6"/>
      <c r="Y445" s="6"/>
      <c r="Z445" s="6"/>
      <c r="AA445" s="6" t="s">
        <v>306</v>
      </c>
    </row>
    <row r="446" spans="1:27" s="4" customFormat="1" ht="51.95" customHeight="1">
      <c r="A446" s="5">
        <v>0</v>
      </c>
      <c r="B446" s="6" t="s">
        <v>2901</v>
      </c>
      <c r="C446" s="7">
        <v>1814</v>
      </c>
      <c r="D446" s="8" t="s">
        <v>2902</v>
      </c>
      <c r="E446" s="8" t="s">
        <v>2903</v>
      </c>
      <c r="F446" s="8" t="s">
        <v>2904</v>
      </c>
      <c r="G446" s="6" t="s">
        <v>123</v>
      </c>
      <c r="H446" s="6" t="s">
        <v>470</v>
      </c>
      <c r="I446" s="8"/>
      <c r="J446" s="9">
        <v>1</v>
      </c>
      <c r="K446" s="9">
        <v>393</v>
      </c>
      <c r="L446" s="9">
        <v>2024</v>
      </c>
      <c r="M446" s="8" t="s">
        <v>2905</v>
      </c>
      <c r="N446" s="8" t="s">
        <v>41</v>
      </c>
      <c r="O446" s="8" t="s">
        <v>54</v>
      </c>
      <c r="P446" s="6" t="s">
        <v>55</v>
      </c>
      <c r="Q446" s="8" t="s">
        <v>56</v>
      </c>
      <c r="R446" s="10" t="s">
        <v>2882</v>
      </c>
      <c r="S446" s="11" t="s">
        <v>2906</v>
      </c>
      <c r="T446" s="6" t="s">
        <v>190</v>
      </c>
      <c r="U446" s="28" t="str">
        <f>HYPERLINK("https://media.infra-m.ru/2079/2079171/cover/2079171.jpg", "Обложка")</f>
        <v>Обложка</v>
      </c>
      <c r="V446" s="28" t="str">
        <f>HYPERLINK("https://znanium.ru/catalog/product/2079171", "Ознакомиться")</f>
        <v>Ознакомиться</v>
      </c>
      <c r="W446" s="8" t="s">
        <v>140</v>
      </c>
      <c r="X446" s="6"/>
      <c r="Y446" s="6"/>
      <c r="Z446" s="6"/>
      <c r="AA446" s="6" t="s">
        <v>2907</v>
      </c>
    </row>
    <row r="447" spans="1:27" s="4" customFormat="1" ht="42" customHeight="1">
      <c r="A447" s="5">
        <v>0</v>
      </c>
      <c r="B447" s="6" t="s">
        <v>2908</v>
      </c>
      <c r="C447" s="7">
        <v>1154.9000000000001</v>
      </c>
      <c r="D447" s="8" t="s">
        <v>2909</v>
      </c>
      <c r="E447" s="8" t="s">
        <v>2879</v>
      </c>
      <c r="F447" s="8" t="s">
        <v>2910</v>
      </c>
      <c r="G447" s="6" t="s">
        <v>123</v>
      </c>
      <c r="H447" s="6" t="s">
        <v>1701</v>
      </c>
      <c r="I447" s="8" t="s">
        <v>155</v>
      </c>
      <c r="J447" s="9">
        <v>1</v>
      </c>
      <c r="K447" s="9">
        <v>256</v>
      </c>
      <c r="L447" s="9">
        <v>2023</v>
      </c>
      <c r="M447" s="8" t="s">
        <v>2911</v>
      </c>
      <c r="N447" s="8" t="s">
        <v>41</v>
      </c>
      <c r="O447" s="8" t="s">
        <v>54</v>
      </c>
      <c r="P447" s="6" t="s">
        <v>55</v>
      </c>
      <c r="Q447" s="8" t="s">
        <v>56</v>
      </c>
      <c r="R447" s="10" t="s">
        <v>2882</v>
      </c>
      <c r="S447" s="11"/>
      <c r="T447" s="6"/>
      <c r="U447" s="28" t="str">
        <f>HYPERLINK("https://media.infra-m.ru/1981/1981606/cover/1981606.jpg", "Обложка")</f>
        <v>Обложка</v>
      </c>
      <c r="V447" s="28" t="str">
        <f>HYPERLINK("https://znanium.ru/catalog/product/1014753", "Ознакомиться")</f>
        <v>Ознакомиться</v>
      </c>
      <c r="W447" s="8" t="s">
        <v>2912</v>
      </c>
      <c r="X447" s="6"/>
      <c r="Y447" s="6"/>
      <c r="Z447" s="6"/>
      <c r="AA447" s="6" t="s">
        <v>381</v>
      </c>
    </row>
    <row r="448" spans="1:27" s="4" customFormat="1" ht="51.95" customHeight="1">
      <c r="A448" s="5">
        <v>0</v>
      </c>
      <c r="B448" s="6" t="s">
        <v>2913</v>
      </c>
      <c r="C448" s="7">
        <v>1544</v>
      </c>
      <c r="D448" s="8" t="s">
        <v>2914</v>
      </c>
      <c r="E448" s="8" t="s">
        <v>2886</v>
      </c>
      <c r="F448" s="8" t="s">
        <v>2915</v>
      </c>
      <c r="G448" s="6" t="s">
        <v>123</v>
      </c>
      <c r="H448" s="6" t="s">
        <v>38</v>
      </c>
      <c r="I448" s="8"/>
      <c r="J448" s="9">
        <v>1</v>
      </c>
      <c r="K448" s="9">
        <v>333</v>
      </c>
      <c r="L448" s="9">
        <v>2024</v>
      </c>
      <c r="M448" s="8" t="s">
        <v>2916</v>
      </c>
      <c r="N448" s="8" t="s">
        <v>41</v>
      </c>
      <c r="O448" s="8" t="s">
        <v>54</v>
      </c>
      <c r="P448" s="6" t="s">
        <v>55</v>
      </c>
      <c r="Q448" s="8" t="s">
        <v>56</v>
      </c>
      <c r="R448" s="10" t="s">
        <v>2882</v>
      </c>
      <c r="S448" s="11" t="s">
        <v>2917</v>
      </c>
      <c r="T448" s="6"/>
      <c r="U448" s="28" t="str">
        <f>HYPERLINK("https://media.infra-m.ru/2053/2053184/cover/2053184.jpg", "Обложка")</f>
        <v>Обложка</v>
      </c>
      <c r="V448" s="28" t="str">
        <f>HYPERLINK("https://znanium.ru/catalog/product/1052219", "Ознакомиться")</f>
        <v>Ознакомиться</v>
      </c>
      <c r="W448" s="8" t="s">
        <v>273</v>
      </c>
      <c r="X448" s="6"/>
      <c r="Y448" s="6"/>
      <c r="Z448" s="6"/>
      <c r="AA448" s="6" t="s">
        <v>2918</v>
      </c>
    </row>
    <row r="449" spans="1:27" s="4" customFormat="1" ht="51.95" customHeight="1">
      <c r="A449" s="5">
        <v>0</v>
      </c>
      <c r="B449" s="6" t="s">
        <v>2919</v>
      </c>
      <c r="C449" s="13">
        <v>920</v>
      </c>
      <c r="D449" s="8" t="s">
        <v>2920</v>
      </c>
      <c r="E449" s="8" t="s">
        <v>2921</v>
      </c>
      <c r="F449" s="8" t="s">
        <v>2922</v>
      </c>
      <c r="G449" s="6" t="s">
        <v>83</v>
      </c>
      <c r="H449" s="6" t="s">
        <v>38</v>
      </c>
      <c r="I449" s="8" t="s">
        <v>884</v>
      </c>
      <c r="J449" s="9">
        <v>1</v>
      </c>
      <c r="K449" s="9">
        <v>204</v>
      </c>
      <c r="L449" s="9">
        <v>2023</v>
      </c>
      <c r="M449" s="8" t="s">
        <v>2923</v>
      </c>
      <c r="N449" s="8" t="s">
        <v>41</v>
      </c>
      <c r="O449" s="8" t="s">
        <v>54</v>
      </c>
      <c r="P449" s="6" t="s">
        <v>55</v>
      </c>
      <c r="Q449" s="8" t="s">
        <v>594</v>
      </c>
      <c r="R449" s="10" t="s">
        <v>2924</v>
      </c>
      <c r="S449" s="11" t="s">
        <v>2925</v>
      </c>
      <c r="T449" s="6"/>
      <c r="U449" s="28" t="str">
        <f>HYPERLINK("https://media.infra-m.ru/1914/1914096/cover/1914096.jpg", "Обложка")</f>
        <v>Обложка</v>
      </c>
      <c r="V449" s="28" t="str">
        <f>HYPERLINK("https://znanium.ru/catalog/product/1002341", "Ознакомиться")</f>
        <v>Ознакомиться</v>
      </c>
      <c r="W449" s="8" t="s">
        <v>2926</v>
      </c>
      <c r="X449" s="6"/>
      <c r="Y449" s="6"/>
      <c r="Z449" s="6"/>
      <c r="AA449" s="6" t="s">
        <v>78</v>
      </c>
    </row>
    <row r="450" spans="1:27" s="4" customFormat="1" ht="51.95" customHeight="1">
      <c r="A450" s="5">
        <v>0</v>
      </c>
      <c r="B450" s="6" t="s">
        <v>2927</v>
      </c>
      <c r="C450" s="13">
        <v>880</v>
      </c>
      <c r="D450" s="8" t="s">
        <v>2928</v>
      </c>
      <c r="E450" s="8" t="s">
        <v>2929</v>
      </c>
      <c r="F450" s="8" t="s">
        <v>72</v>
      </c>
      <c r="G450" s="6" t="s">
        <v>123</v>
      </c>
      <c r="H450" s="6" t="s">
        <v>38</v>
      </c>
      <c r="I450" s="8" t="s">
        <v>39</v>
      </c>
      <c r="J450" s="9">
        <v>1</v>
      </c>
      <c r="K450" s="9">
        <v>181</v>
      </c>
      <c r="L450" s="9">
        <v>2024</v>
      </c>
      <c r="M450" s="8" t="s">
        <v>2930</v>
      </c>
      <c r="N450" s="8" t="s">
        <v>74</v>
      </c>
      <c r="O450" s="8" t="s">
        <v>75</v>
      </c>
      <c r="P450" s="6" t="s">
        <v>43</v>
      </c>
      <c r="Q450" s="8" t="s">
        <v>44</v>
      </c>
      <c r="R450" s="10" t="s">
        <v>2931</v>
      </c>
      <c r="S450" s="11"/>
      <c r="T450" s="6"/>
      <c r="U450" s="28" t="str">
        <f>HYPERLINK("https://media.infra-m.ru/2010/2010448/cover/2010448.jpg", "Обложка")</f>
        <v>Обложка</v>
      </c>
      <c r="V450" s="28" t="str">
        <f>HYPERLINK("https://znanium.ru/catalog/product/2010448", "Ознакомиться")</f>
        <v>Ознакомиться</v>
      </c>
      <c r="W450" s="8" t="s">
        <v>77</v>
      </c>
      <c r="X450" s="6" t="s">
        <v>179</v>
      </c>
      <c r="Y450" s="6"/>
      <c r="Z450" s="6"/>
      <c r="AA450" s="6" t="s">
        <v>180</v>
      </c>
    </row>
    <row r="451" spans="1:27" s="4" customFormat="1" ht="44.1" customHeight="1">
      <c r="A451" s="5">
        <v>0</v>
      </c>
      <c r="B451" s="6" t="s">
        <v>2932</v>
      </c>
      <c r="C451" s="7">
        <v>2494</v>
      </c>
      <c r="D451" s="8" t="s">
        <v>2933</v>
      </c>
      <c r="E451" s="8" t="s">
        <v>2934</v>
      </c>
      <c r="F451" s="8" t="s">
        <v>2935</v>
      </c>
      <c r="G451" s="6" t="s">
        <v>123</v>
      </c>
      <c r="H451" s="6" t="s">
        <v>52</v>
      </c>
      <c r="I451" s="8" t="s">
        <v>164</v>
      </c>
      <c r="J451" s="9">
        <v>1</v>
      </c>
      <c r="K451" s="9">
        <v>544</v>
      </c>
      <c r="L451" s="9">
        <v>2024</v>
      </c>
      <c r="M451" s="8" t="s">
        <v>2936</v>
      </c>
      <c r="N451" s="8" t="s">
        <v>74</v>
      </c>
      <c r="O451" s="8" t="s">
        <v>75</v>
      </c>
      <c r="P451" s="6" t="s">
        <v>55</v>
      </c>
      <c r="Q451" s="8" t="s">
        <v>56</v>
      </c>
      <c r="R451" s="10" t="s">
        <v>2937</v>
      </c>
      <c r="S451" s="11"/>
      <c r="T451" s="6"/>
      <c r="U451" s="28" t="str">
        <f>HYPERLINK("https://media.infra-m.ru/2090/2090698/cover/2090698.jpg", "Обложка")</f>
        <v>Обложка</v>
      </c>
      <c r="V451" s="28" t="str">
        <f>HYPERLINK("https://znanium.ru/catalog/product/1189334", "Ознакомиться")</f>
        <v>Ознакомиться</v>
      </c>
      <c r="W451" s="8" t="s">
        <v>1028</v>
      </c>
      <c r="X451" s="6"/>
      <c r="Y451" s="6"/>
      <c r="Z451" s="6"/>
      <c r="AA451" s="6" t="s">
        <v>381</v>
      </c>
    </row>
    <row r="452" spans="1:27" s="4" customFormat="1" ht="42" customHeight="1">
      <c r="A452" s="5">
        <v>0</v>
      </c>
      <c r="B452" s="6" t="s">
        <v>2938</v>
      </c>
      <c r="C452" s="13">
        <v>547</v>
      </c>
      <c r="D452" s="8" t="s">
        <v>2939</v>
      </c>
      <c r="E452" s="8" t="s">
        <v>2940</v>
      </c>
      <c r="F452" s="8" t="s">
        <v>2941</v>
      </c>
      <c r="G452" s="6" t="s">
        <v>37</v>
      </c>
      <c r="H452" s="6" t="s">
        <v>52</v>
      </c>
      <c r="I452" s="8"/>
      <c r="J452" s="9">
        <v>1</v>
      </c>
      <c r="K452" s="9">
        <v>88</v>
      </c>
      <c r="L452" s="9">
        <v>2023</v>
      </c>
      <c r="M452" s="8" t="s">
        <v>2942</v>
      </c>
      <c r="N452" s="8" t="s">
        <v>74</v>
      </c>
      <c r="O452" s="8" t="s">
        <v>75</v>
      </c>
      <c r="P452" s="6" t="s">
        <v>55</v>
      </c>
      <c r="Q452" s="8" t="s">
        <v>56</v>
      </c>
      <c r="R452" s="10" t="s">
        <v>253</v>
      </c>
      <c r="S452" s="11"/>
      <c r="T452" s="6"/>
      <c r="U452" s="28" t="str">
        <f>HYPERLINK("https://media.infra-m.ru/1981/1981590/cover/1981590.jpg", "Обложка")</f>
        <v>Обложка</v>
      </c>
      <c r="V452" s="28" t="str">
        <f>HYPERLINK("https://znanium.ru/catalog/product/1840451", "Ознакомиться")</f>
        <v>Ознакомиться</v>
      </c>
      <c r="W452" s="8" t="s">
        <v>2943</v>
      </c>
      <c r="X452" s="6"/>
      <c r="Y452" s="6"/>
      <c r="Z452" s="6"/>
      <c r="AA452" s="6" t="s">
        <v>381</v>
      </c>
    </row>
    <row r="453" spans="1:27" s="4" customFormat="1" ht="51.95" customHeight="1">
      <c r="A453" s="5">
        <v>0</v>
      </c>
      <c r="B453" s="6" t="s">
        <v>2944</v>
      </c>
      <c r="C453" s="7">
        <v>2199</v>
      </c>
      <c r="D453" s="8" t="s">
        <v>2945</v>
      </c>
      <c r="E453" s="8" t="s">
        <v>2946</v>
      </c>
      <c r="F453" s="8" t="s">
        <v>1405</v>
      </c>
      <c r="G453" s="6" t="s">
        <v>83</v>
      </c>
      <c r="H453" s="6" t="s">
        <v>52</v>
      </c>
      <c r="I453" s="8" t="s">
        <v>205</v>
      </c>
      <c r="J453" s="9">
        <v>1</v>
      </c>
      <c r="K453" s="9">
        <v>368</v>
      </c>
      <c r="L453" s="9">
        <v>2023</v>
      </c>
      <c r="M453" s="8" t="s">
        <v>2947</v>
      </c>
      <c r="N453" s="8" t="s">
        <v>74</v>
      </c>
      <c r="O453" s="8" t="s">
        <v>394</v>
      </c>
      <c r="P453" s="6" t="s">
        <v>55</v>
      </c>
      <c r="Q453" s="8" t="s">
        <v>207</v>
      </c>
      <c r="R453" s="10" t="s">
        <v>2948</v>
      </c>
      <c r="S453" s="11" t="s">
        <v>2949</v>
      </c>
      <c r="T453" s="6"/>
      <c r="U453" s="28" t="str">
        <f>HYPERLINK("https://media.infra-m.ru/1995/1995330/cover/1995330.jpg", "Обложка")</f>
        <v>Обложка</v>
      </c>
      <c r="V453" s="28" t="str">
        <f>HYPERLINK("https://znanium.ru/catalog/product/1995330", "Ознакомиться")</f>
        <v>Ознакомиться</v>
      </c>
      <c r="W453" s="8" t="s">
        <v>1401</v>
      </c>
      <c r="X453" s="6"/>
      <c r="Y453" s="6"/>
      <c r="Z453" s="6" t="s">
        <v>235</v>
      </c>
      <c r="AA453" s="6" t="s">
        <v>78</v>
      </c>
    </row>
    <row r="454" spans="1:27" s="4" customFormat="1" ht="51.95" customHeight="1">
      <c r="A454" s="5">
        <v>0</v>
      </c>
      <c r="B454" s="6" t="s">
        <v>2950</v>
      </c>
      <c r="C454" s="7">
        <v>1464.9</v>
      </c>
      <c r="D454" s="8" t="s">
        <v>2951</v>
      </c>
      <c r="E454" s="8" t="s">
        <v>2952</v>
      </c>
      <c r="F454" s="8" t="s">
        <v>2953</v>
      </c>
      <c r="G454" s="6" t="s">
        <v>83</v>
      </c>
      <c r="H454" s="6" t="s">
        <v>52</v>
      </c>
      <c r="I454" s="8" t="s">
        <v>164</v>
      </c>
      <c r="J454" s="9">
        <v>1</v>
      </c>
      <c r="K454" s="9">
        <v>304</v>
      </c>
      <c r="L454" s="9">
        <v>2022</v>
      </c>
      <c r="M454" s="8" t="s">
        <v>2954</v>
      </c>
      <c r="N454" s="8" t="s">
        <v>74</v>
      </c>
      <c r="O454" s="8" t="s">
        <v>394</v>
      </c>
      <c r="P454" s="6" t="s">
        <v>55</v>
      </c>
      <c r="Q454" s="8" t="s">
        <v>56</v>
      </c>
      <c r="R454" s="10" t="s">
        <v>2955</v>
      </c>
      <c r="S454" s="11" t="s">
        <v>2956</v>
      </c>
      <c r="T454" s="6"/>
      <c r="U454" s="28" t="str">
        <f>HYPERLINK("https://media.infra-m.ru/1514/1514894/cover/1514894.jpg", "Обложка")</f>
        <v>Обложка</v>
      </c>
      <c r="V454" s="28" t="str">
        <f>HYPERLINK("https://znanium.ru/catalog/product/2150742", "Ознакомиться")</f>
        <v>Ознакомиться</v>
      </c>
      <c r="W454" s="8" t="s">
        <v>511</v>
      </c>
      <c r="X454" s="6"/>
      <c r="Y454" s="6"/>
      <c r="Z454" s="6"/>
      <c r="AA454" s="6" t="s">
        <v>169</v>
      </c>
    </row>
    <row r="455" spans="1:27" s="4" customFormat="1" ht="51.95" customHeight="1">
      <c r="A455" s="5">
        <v>0</v>
      </c>
      <c r="B455" s="6" t="s">
        <v>2957</v>
      </c>
      <c r="C455" s="7">
        <v>1500</v>
      </c>
      <c r="D455" s="8" t="s">
        <v>2958</v>
      </c>
      <c r="E455" s="8" t="s">
        <v>2952</v>
      </c>
      <c r="F455" s="8" t="s">
        <v>2953</v>
      </c>
      <c r="G455" s="6" t="s">
        <v>83</v>
      </c>
      <c r="H455" s="6" t="s">
        <v>52</v>
      </c>
      <c r="I455" s="8" t="s">
        <v>205</v>
      </c>
      <c r="J455" s="9">
        <v>1</v>
      </c>
      <c r="K455" s="9">
        <v>304</v>
      </c>
      <c r="L455" s="9">
        <v>2022</v>
      </c>
      <c r="M455" s="8" t="s">
        <v>2959</v>
      </c>
      <c r="N455" s="8" t="s">
        <v>74</v>
      </c>
      <c r="O455" s="8" t="s">
        <v>394</v>
      </c>
      <c r="P455" s="6" t="s">
        <v>55</v>
      </c>
      <c r="Q455" s="8" t="s">
        <v>207</v>
      </c>
      <c r="R455" s="10" t="s">
        <v>2948</v>
      </c>
      <c r="S455" s="11" t="s">
        <v>2960</v>
      </c>
      <c r="T455" s="6"/>
      <c r="U455" s="28" t="str">
        <f>HYPERLINK("https://media.infra-m.ru/1860/1860078/cover/1860078.jpg", "Обложка")</f>
        <v>Обложка</v>
      </c>
      <c r="V455" s="28" t="str">
        <f>HYPERLINK("https://znanium.ru/catalog/product/2136572", "Ознакомиться")</f>
        <v>Ознакомиться</v>
      </c>
      <c r="W455" s="8" t="s">
        <v>511</v>
      </c>
      <c r="X455" s="6"/>
      <c r="Y455" s="6"/>
      <c r="Z455" s="6" t="s">
        <v>235</v>
      </c>
      <c r="AA455" s="6" t="s">
        <v>150</v>
      </c>
    </row>
    <row r="456" spans="1:27" s="4" customFormat="1" ht="42" customHeight="1">
      <c r="A456" s="5">
        <v>0</v>
      </c>
      <c r="B456" s="6" t="s">
        <v>2961</v>
      </c>
      <c r="C456" s="7">
        <v>1830</v>
      </c>
      <c r="D456" s="8" t="s">
        <v>2962</v>
      </c>
      <c r="E456" s="8" t="s">
        <v>2963</v>
      </c>
      <c r="F456" s="8" t="s">
        <v>2953</v>
      </c>
      <c r="G456" s="6" t="s">
        <v>83</v>
      </c>
      <c r="H456" s="6" t="s">
        <v>38</v>
      </c>
      <c r="I456" s="8" t="s">
        <v>205</v>
      </c>
      <c r="J456" s="9">
        <v>1</v>
      </c>
      <c r="K456" s="9">
        <v>389</v>
      </c>
      <c r="L456" s="9">
        <v>2024</v>
      </c>
      <c r="M456" s="8" t="s">
        <v>2964</v>
      </c>
      <c r="N456" s="8" t="s">
        <v>74</v>
      </c>
      <c r="O456" s="8" t="s">
        <v>394</v>
      </c>
      <c r="P456" s="6" t="s">
        <v>55</v>
      </c>
      <c r="Q456" s="8" t="s">
        <v>207</v>
      </c>
      <c r="R456" s="10" t="s">
        <v>2948</v>
      </c>
      <c r="S456" s="11"/>
      <c r="T456" s="6"/>
      <c r="U456" s="28" t="str">
        <f>HYPERLINK("https://media.infra-m.ru/2136/2136572/cover/2136572.jpg", "Обложка")</f>
        <v>Обложка</v>
      </c>
      <c r="V456" s="28" t="str">
        <f>HYPERLINK("https://znanium.ru/catalog/product/2136572", "Ознакомиться")</f>
        <v>Ознакомиться</v>
      </c>
      <c r="W456" s="8" t="s">
        <v>511</v>
      </c>
      <c r="X456" s="6"/>
      <c r="Y456" s="6"/>
      <c r="Z456" s="6" t="s">
        <v>235</v>
      </c>
      <c r="AA456" s="6" t="s">
        <v>1249</v>
      </c>
    </row>
    <row r="457" spans="1:27" s="4" customFormat="1" ht="51.95" customHeight="1">
      <c r="A457" s="5">
        <v>0</v>
      </c>
      <c r="B457" s="6" t="s">
        <v>2965</v>
      </c>
      <c r="C457" s="7">
        <v>1830</v>
      </c>
      <c r="D457" s="8" t="s">
        <v>2966</v>
      </c>
      <c r="E457" s="8" t="s">
        <v>2967</v>
      </c>
      <c r="F457" s="8" t="s">
        <v>2968</v>
      </c>
      <c r="G457" s="6" t="s">
        <v>83</v>
      </c>
      <c r="H457" s="6" t="s">
        <v>38</v>
      </c>
      <c r="I457" s="8" t="s">
        <v>155</v>
      </c>
      <c r="J457" s="9">
        <v>1</v>
      </c>
      <c r="K457" s="9">
        <v>389</v>
      </c>
      <c r="L457" s="9">
        <v>2024</v>
      </c>
      <c r="M457" s="8" t="s">
        <v>2969</v>
      </c>
      <c r="N457" s="8" t="s">
        <v>74</v>
      </c>
      <c r="O457" s="8" t="s">
        <v>394</v>
      </c>
      <c r="P457" s="6" t="s">
        <v>55</v>
      </c>
      <c r="Q457" s="8" t="s">
        <v>56</v>
      </c>
      <c r="R457" s="10" t="s">
        <v>2955</v>
      </c>
      <c r="S457" s="11" t="s">
        <v>2970</v>
      </c>
      <c r="T457" s="6"/>
      <c r="U457" s="28" t="str">
        <f>HYPERLINK("https://media.infra-m.ru/2150/2150742/cover/2150742.jpg", "Обложка")</f>
        <v>Обложка</v>
      </c>
      <c r="V457" s="28" t="str">
        <f>HYPERLINK("https://znanium.ru/catalog/product/2150742", "Ознакомиться")</f>
        <v>Ознакомиться</v>
      </c>
      <c r="W457" s="8" t="s">
        <v>511</v>
      </c>
      <c r="X457" s="6"/>
      <c r="Y457" s="6"/>
      <c r="Z457" s="6"/>
      <c r="AA457" s="6" t="s">
        <v>2971</v>
      </c>
    </row>
    <row r="458" spans="1:27" s="4" customFormat="1" ht="51.95" customHeight="1">
      <c r="A458" s="5">
        <v>0</v>
      </c>
      <c r="B458" s="6" t="s">
        <v>2972</v>
      </c>
      <c r="C458" s="7">
        <v>1000</v>
      </c>
      <c r="D458" s="8" t="s">
        <v>2973</v>
      </c>
      <c r="E458" s="8" t="s">
        <v>2974</v>
      </c>
      <c r="F458" s="8" t="s">
        <v>2975</v>
      </c>
      <c r="G458" s="6" t="s">
        <v>83</v>
      </c>
      <c r="H458" s="6" t="s">
        <v>38</v>
      </c>
      <c r="I458" s="8" t="s">
        <v>205</v>
      </c>
      <c r="J458" s="9">
        <v>1</v>
      </c>
      <c r="K458" s="9">
        <v>140</v>
      </c>
      <c r="L458" s="9">
        <v>2024</v>
      </c>
      <c r="M458" s="8" t="s">
        <v>2976</v>
      </c>
      <c r="N458" s="8" t="s">
        <v>74</v>
      </c>
      <c r="O458" s="8" t="s">
        <v>394</v>
      </c>
      <c r="P458" s="6" t="s">
        <v>55</v>
      </c>
      <c r="Q458" s="8" t="s">
        <v>207</v>
      </c>
      <c r="R458" s="10" t="s">
        <v>2948</v>
      </c>
      <c r="S458" s="11" t="s">
        <v>2949</v>
      </c>
      <c r="T458" s="6"/>
      <c r="U458" s="28" t="str">
        <f>HYPERLINK("https://media.infra-m.ru/2139/2139010/cover/2139010.jpg", "Обложка")</f>
        <v>Обложка</v>
      </c>
      <c r="V458" s="28" t="str">
        <f>HYPERLINK("https://znanium.ru/catalog/product/2139010", "Ознакомиться")</f>
        <v>Ознакомиться</v>
      </c>
      <c r="W458" s="8" t="s">
        <v>511</v>
      </c>
      <c r="X458" s="6"/>
      <c r="Y458" s="6"/>
      <c r="Z458" s="6" t="s">
        <v>782</v>
      </c>
      <c r="AA458" s="6" t="s">
        <v>768</v>
      </c>
    </row>
    <row r="459" spans="1:27" s="4" customFormat="1" ht="51.95" customHeight="1">
      <c r="A459" s="5">
        <v>0</v>
      </c>
      <c r="B459" s="6" t="s">
        <v>2977</v>
      </c>
      <c r="C459" s="7">
        <v>1349</v>
      </c>
      <c r="D459" s="8" t="s">
        <v>2978</v>
      </c>
      <c r="E459" s="8" t="s">
        <v>2974</v>
      </c>
      <c r="F459" s="8" t="s">
        <v>2975</v>
      </c>
      <c r="G459" s="6" t="s">
        <v>83</v>
      </c>
      <c r="H459" s="6" t="s">
        <v>38</v>
      </c>
      <c r="I459" s="8" t="s">
        <v>155</v>
      </c>
      <c r="J459" s="9">
        <v>1</v>
      </c>
      <c r="K459" s="9">
        <v>140</v>
      </c>
      <c r="L459" s="9">
        <v>2024</v>
      </c>
      <c r="M459" s="8" t="s">
        <v>2979</v>
      </c>
      <c r="N459" s="8" t="s">
        <v>74</v>
      </c>
      <c r="O459" s="8" t="s">
        <v>394</v>
      </c>
      <c r="P459" s="6" t="s">
        <v>55</v>
      </c>
      <c r="Q459" s="8" t="s">
        <v>177</v>
      </c>
      <c r="R459" s="10" t="s">
        <v>2955</v>
      </c>
      <c r="S459" s="11" t="s">
        <v>2980</v>
      </c>
      <c r="T459" s="6"/>
      <c r="U459" s="28" t="str">
        <f>HYPERLINK("https://media.infra-m.ru/2125/2125280/cover/2125280.jpg", "Обложка")</f>
        <v>Обложка</v>
      </c>
      <c r="V459" s="28" t="str">
        <f>HYPERLINK("https://znanium.ru/catalog/product/2125280", "Ознакомиться")</f>
        <v>Ознакомиться</v>
      </c>
      <c r="W459" s="8" t="s">
        <v>511</v>
      </c>
      <c r="X459" s="6"/>
      <c r="Y459" s="6"/>
      <c r="Z459" s="6"/>
      <c r="AA459" s="6" t="s">
        <v>169</v>
      </c>
    </row>
    <row r="460" spans="1:27" s="4" customFormat="1" ht="42" customHeight="1">
      <c r="A460" s="5">
        <v>0</v>
      </c>
      <c r="B460" s="6" t="s">
        <v>2981</v>
      </c>
      <c r="C460" s="7">
        <v>1150</v>
      </c>
      <c r="D460" s="8" t="s">
        <v>2982</v>
      </c>
      <c r="E460" s="8" t="s">
        <v>2983</v>
      </c>
      <c r="F460" s="8" t="s">
        <v>2984</v>
      </c>
      <c r="G460" s="6" t="s">
        <v>83</v>
      </c>
      <c r="H460" s="6" t="s">
        <v>38</v>
      </c>
      <c r="I460" s="8" t="s">
        <v>155</v>
      </c>
      <c r="J460" s="9">
        <v>1</v>
      </c>
      <c r="K460" s="9">
        <v>223</v>
      </c>
      <c r="L460" s="9">
        <v>2024</v>
      </c>
      <c r="M460" s="8" t="s">
        <v>2985</v>
      </c>
      <c r="N460" s="8" t="s">
        <v>74</v>
      </c>
      <c r="O460" s="8" t="s">
        <v>75</v>
      </c>
      <c r="P460" s="6" t="s">
        <v>55</v>
      </c>
      <c r="Q460" s="8" t="s">
        <v>177</v>
      </c>
      <c r="R460" s="10" t="s">
        <v>2986</v>
      </c>
      <c r="S460" s="11"/>
      <c r="T460" s="6"/>
      <c r="U460" s="28" t="str">
        <f>HYPERLINK("https://media.infra-m.ru/2148/2148520/cover/2148520.jpg", "Обложка")</f>
        <v>Обложка</v>
      </c>
      <c r="V460" s="28" t="str">
        <f>HYPERLINK("https://znanium.ru/catalog/product/2148520", "Ознакомиться")</f>
        <v>Ознакомиться</v>
      </c>
      <c r="W460" s="8" t="s">
        <v>2987</v>
      </c>
      <c r="X460" s="6"/>
      <c r="Y460" s="6"/>
      <c r="Z460" s="6"/>
      <c r="AA460" s="6" t="s">
        <v>180</v>
      </c>
    </row>
    <row r="461" spans="1:27" s="4" customFormat="1" ht="51.95" customHeight="1">
      <c r="A461" s="5">
        <v>0</v>
      </c>
      <c r="B461" s="6" t="s">
        <v>2988</v>
      </c>
      <c r="C461" s="7">
        <v>1920</v>
      </c>
      <c r="D461" s="8" t="s">
        <v>2989</v>
      </c>
      <c r="E461" s="8" t="s">
        <v>2990</v>
      </c>
      <c r="F461" s="8" t="s">
        <v>2991</v>
      </c>
      <c r="G461" s="6" t="s">
        <v>123</v>
      </c>
      <c r="H461" s="6" t="s">
        <v>38</v>
      </c>
      <c r="I461" s="8" t="s">
        <v>155</v>
      </c>
      <c r="J461" s="9">
        <v>1</v>
      </c>
      <c r="K461" s="9">
        <v>408</v>
      </c>
      <c r="L461" s="9">
        <v>2024</v>
      </c>
      <c r="M461" s="8" t="s">
        <v>2992</v>
      </c>
      <c r="N461" s="8" t="s">
        <v>74</v>
      </c>
      <c r="O461" s="8" t="s">
        <v>75</v>
      </c>
      <c r="P461" s="6" t="s">
        <v>176</v>
      </c>
      <c r="Q461" s="8" t="s">
        <v>56</v>
      </c>
      <c r="R461" s="10" t="s">
        <v>2993</v>
      </c>
      <c r="S461" s="11" t="s">
        <v>2994</v>
      </c>
      <c r="T461" s="6"/>
      <c r="U461" s="28" t="str">
        <f>HYPERLINK("https://media.infra-m.ru/2140/2140253/cover/2140253.jpg", "Обложка")</f>
        <v>Обложка</v>
      </c>
      <c r="V461" s="28" t="str">
        <f>HYPERLINK("https://znanium.ru/catalog/product/2140253", "Ознакомиться")</f>
        <v>Ознакомиться</v>
      </c>
      <c r="W461" s="8" t="s">
        <v>2839</v>
      </c>
      <c r="X461" s="6"/>
      <c r="Y461" s="6"/>
      <c r="Z461" s="6"/>
      <c r="AA461" s="6" t="s">
        <v>2907</v>
      </c>
    </row>
    <row r="462" spans="1:27" s="4" customFormat="1" ht="51.95" customHeight="1">
      <c r="A462" s="5">
        <v>0</v>
      </c>
      <c r="B462" s="6" t="s">
        <v>2995</v>
      </c>
      <c r="C462" s="7">
        <v>1294.9000000000001</v>
      </c>
      <c r="D462" s="8" t="s">
        <v>2996</v>
      </c>
      <c r="E462" s="8" t="s">
        <v>2997</v>
      </c>
      <c r="F462" s="8" t="s">
        <v>2998</v>
      </c>
      <c r="G462" s="6" t="s">
        <v>83</v>
      </c>
      <c r="H462" s="6" t="s">
        <v>618</v>
      </c>
      <c r="I462" s="8"/>
      <c r="J462" s="9">
        <v>1</v>
      </c>
      <c r="K462" s="9">
        <v>288</v>
      </c>
      <c r="L462" s="9">
        <v>2023</v>
      </c>
      <c r="M462" s="8" t="s">
        <v>2999</v>
      </c>
      <c r="N462" s="8" t="s">
        <v>74</v>
      </c>
      <c r="O462" s="8" t="s">
        <v>75</v>
      </c>
      <c r="P462" s="6" t="s">
        <v>176</v>
      </c>
      <c r="Q462" s="8" t="s">
        <v>56</v>
      </c>
      <c r="R462" s="10" t="s">
        <v>239</v>
      </c>
      <c r="S462" s="11"/>
      <c r="T462" s="6"/>
      <c r="U462" s="28" t="str">
        <f>HYPERLINK("https://media.infra-m.ru/1931/1931505/cover/1931505.jpg", "Обложка")</f>
        <v>Обложка</v>
      </c>
      <c r="V462" s="28" t="str">
        <f>HYPERLINK("https://znanium.ru/catalog/product/1221072", "Ознакомиться")</f>
        <v>Ознакомиться</v>
      </c>
      <c r="W462" s="8" t="s">
        <v>200</v>
      </c>
      <c r="X462" s="6"/>
      <c r="Y462" s="6"/>
      <c r="Z462" s="6"/>
      <c r="AA462" s="6" t="s">
        <v>78</v>
      </c>
    </row>
    <row r="463" spans="1:27" s="4" customFormat="1" ht="42" customHeight="1">
      <c r="A463" s="5">
        <v>0</v>
      </c>
      <c r="B463" s="6" t="s">
        <v>3000</v>
      </c>
      <c r="C463" s="7">
        <v>3014</v>
      </c>
      <c r="D463" s="8" t="s">
        <v>3001</v>
      </c>
      <c r="E463" s="8" t="s">
        <v>3002</v>
      </c>
      <c r="F463" s="8" t="s">
        <v>3003</v>
      </c>
      <c r="G463" s="6" t="s">
        <v>123</v>
      </c>
      <c r="H463" s="6" t="s">
        <v>38</v>
      </c>
      <c r="I463" s="8"/>
      <c r="J463" s="9">
        <v>1</v>
      </c>
      <c r="K463" s="9">
        <v>726</v>
      </c>
      <c r="L463" s="9">
        <v>2021</v>
      </c>
      <c r="M463" s="8" t="s">
        <v>3004</v>
      </c>
      <c r="N463" s="8" t="s">
        <v>74</v>
      </c>
      <c r="O463" s="8" t="s">
        <v>75</v>
      </c>
      <c r="P463" s="6" t="s">
        <v>3005</v>
      </c>
      <c r="Q463" s="8" t="s">
        <v>44</v>
      </c>
      <c r="R463" s="10" t="s">
        <v>3006</v>
      </c>
      <c r="S463" s="11"/>
      <c r="T463" s="6"/>
      <c r="U463" s="28" t="str">
        <f>HYPERLINK("https://media.infra-m.ru/2101/2101609/cover/2101609.jpg", "Обложка")</f>
        <v>Обложка</v>
      </c>
      <c r="V463" s="28" t="str">
        <f>HYPERLINK("https://znanium.ru/catalog/product/2030819", "Ознакомиться")</f>
        <v>Ознакомиться</v>
      </c>
      <c r="W463" s="8" t="s">
        <v>3007</v>
      </c>
      <c r="X463" s="6"/>
      <c r="Y463" s="6"/>
      <c r="Z463" s="6"/>
      <c r="AA463" s="6" t="s">
        <v>193</v>
      </c>
    </row>
    <row r="464" spans="1:27" s="4" customFormat="1" ht="51.95" customHeight="1">
      <c r="A464" s="5">
        <v>0</v>
      </c>
      <c r="B464" s="6" t="s">
        <v>3008</v>
      </c>
      <c r="C464" s="7">
        <v>1524</v>
      </c>
      <c r="D464" s="8" t="s">
        <v>3009</v>
      </c>
      <c r="E464" s="8" t="s">
        <v>3010</v>
      </c>
      <c r="F464" s="8" t="s">
        <v>3011</v>
      </c>
      <c r="G464" s="6" t="s">
        <v>123</v>
      </c>
      <c r="H464" s="6" t="s">
        <v>1701</v>
      </c>
      <c r="I464" s="8" t="s">
        <v>39</v>
      </c>
      <c r="J464" s="9">
        <v>1</v>
      </c>
      <c r="K464" s="9">
        <v>336</v>
      </c>
      <c r="L464" s="9">
        <v>2023</v>
      </c>
      <c r="M464" s="8" t="s">
        <v>3012</v>
      </c>
      <c r="N464" s="8" t="s">
        <v>74</v>
      </c>
      <c r="O464" s="8" t="s">
        <v>75</v>
      </c>
      <c r="P464" s="6" t="s">
        <v>43</v>
      </c>
      <c r="Q464" s="8" t="s">
        <v>44</v>
      </c>
      <c r="R464" s="10" t="s">
        <v>3013</v>
      </c>
      <c r="S464" s="11"/>
      <c r="T464" s="6"/>
      <c r="U464" s="28" t="str">
        <f>HYPERLINK("https://media.infra-m.ru/2006/2006069/cover/2006069.jpg", "Обложка")</f>
        <v>Обложка</v>
      </c>
      <c r="V464" s="28" t="str">
        <f>HYPERLINK("https://znanium.ru/catalog/product/952393", "Ознакомиться")</f>
        <v>Ознакомиться</v>
      </c>
      <c r="W464" s="8" t="s">
        <v>363</v>
      </c>
      <c r="X464" s="6"/>
      <c r="Y464" s="6"/>
      <c r="Z464" s="6"/>
      <c r="AA464" s="6" t="s">
        <v>650</v>
      </c>
    </row>
    <row r="465" spans="1:27" s="4" customFormat="1" ht="51.95" customHeight="1">
      <c r="A465" s="5">
        <v>0</v>
      </c>
      <c r="B465" s="6" t="s">
        <v>3014</v>
      </c>
      <c r="C465" s="13">
        <v>484.9</v>
      </c>
      <c r="D465" s="8" t="s">
        <v>3015</v>
      </c>
      <c r="E465" s="8" t="s">
        <v>3016</v>
      </c>
      <c r="F465" s="8" t="s">
        <v>3017</v>
      </c>
      <c r="G465" s="6" t="s">
        <v>37</v>
      </c>
      <c r="H465" s="6" t="s">
        <v>38</v>
      </c>
      <c r="I465" s="8" t="s">
        <v>39</v>
      </c>
      <c r="J465" s="9">
        <v>1</v>
      </c>
      <c r="K465" s="9">
        <v>108</v>
      </c>
      <c r="L465" s="9">
        <v>2023</v>
      </c>
      <c r="M465" s="8" t="s">
        <v>3018</v>
      </c>
      <c r="N465" s="8" t="s">
        <v>74</v>
      </c>
      <c r="O465" s="8" t="s">
        <v>75</v>
      </c>
      <c r="P465" s="6" t="s">
        <v>43</v>
      </c>
      <c r="Q465" s="8" t="s">
        <v>44</v>
      </c>
      <c r="R465" s="10" t="s">
        <v>3019</v>
      </c>
      <c r="S465" s="11"/>
      <c r="T465" s="6"/>
      <c r="U465" s="28" t="str">
        <f>HYPERLINK("https://media.infra-m.ru/1907/1907367/cover/1907367.jpg", "Обложка")</f>
        <v>Обложка</v>
      </c>
      <c r="V465" s="28" t="str">
        <f>HYPERLINK("https://znanium.ru/catalog/product/1902914", "Ознакомиться")</f>
        <v>Ознакомиться</v>
      </c>
      <c r="W465" s="8" t="s">
        <v>77</v>
      </c>
      <c r="X465" s="6"/>
      <c r="Y465" s="6"/>
      <c r="Z465" s="6"/>
      <c r="AA465" s="6" t="s">
        <v>59</v>
      </c>
    </row>
    <row r="466" spans="1:27" s="4" customFormat="1" ht="51.95" customHeight="1">
      <c r="A466" s="5">
        <v>0</v>
      </c>
      <c r="B466" s="6" t="s">
        <v>3020</v>
      </c>
      <c r="C466" s="13">
        <v>800</v>
      </c>
      <c r="D466" s="8" t="s">
        <v>3021</v>
      </c>
      <c r="E466" s="8" t="s">
        <v>3022</v>
      </c>
      <c r="F466" s="8" t="s">
        <v>3023</v>
      </c>
      <c r="G466" s="6" t="s">
        <v>83</v>
      </c>
      <c r="H466" s="6" t="s">
        <v>38</v>
      </c>
      <c r="I466" s="8" t="s">
        <v>884</v>
      </c>
      <c r="J466" s="9">
        <v>1</v>
      </c>
      <c r="K466" s="9">
        <v>172</v>
      </c>
      <c r="L466" s="9">
        <v>2024</v>
      </c>
      <c r="M466" s="8" t="s">
        <v>3024</v>
      </c>
      <c r="N466" s="8" t="s">
        <v>74</v>
      </c>
      <c r="O466" s="8" t="s">
        <v>75</v>
      </c>
      <c r="P466" s="6" t="s">
        <v>55</v>
      </c>
      <c r="Q466" s="8" t="s">
        <v>594</v>
      </c>
      <c r="R466" s="10" t="s">
        <v>3025</v>
      </c>
      <c r="S466" s="11" t="s">
        <v>3026</v>
      </c>
      <c r="T466" s="6"/>
      <c r="U466" s="28" t="str">
        <f>HYPERLINK("https://media.infra-m.ru/2128/2128078/cover/2128078.jpg", "Обложка")</f>
        <v>Обложка</v>
      </c>
      <c r="V466" s="28" t="str">
        <f>HYPERLINK("https://znanium.ru/catalog/product/2128078", "Ознакомиться")</f>
        <v>Ознакомиться</v>
      </c>
      <c r="W466" s="8" t="s">
        <v>3027</v>
      </c>
      <c r="X466" s="6"/>
      <c r="Y466" s="6"/>
      <c r="Z466" s="6"/>
      <c r="AA466" s="6" t="s">
        <v>68</v>
      </c>
    </row>
    <row r="467" spans="1:27" s="4" customFormat="1" ht="42" customHeight="1">
      <c r="A467" s="5">
        <v>0</v>
      </c>
      <c r="B467" s="6" t="s">
        <v>3028</v>
      </c>
      <c r="C467" s="7">
        <v>1770</v>
      </c>
      <c r="D467" s="8" t="s">
        <v>3029</v>
      </c>
      <c r="E467" s="8" t="s">
        <v>3030</v>
      </c>
      <c r="F467" s="8" t="s">
        <v>1974</v>
      </c>
      <c r="G467" s="6" t="s">
        <v>123</v>
      </c>
      <c r="H467" s="6" t="s">
        <v>618</v>
      </c>
      <c r="I467" s="8"/>
      <c r="J467" s="9">
        <v>1</v>
      </c>
      <c r="K467" s="9">
        <v>392</v>
      </c>
      <c r="L467" s="9">
        <v>2023</v>
      </c>
      <c r="M467" s="8" t="s">
        <v>3031</v>
      </c>
      <c r="N467" s="8" t="s">
        <v>74</v>
      </c>
      <c r="O467" s="8" t="s">
        <v>93</v>
      </c>
      <c r="P467" s="6" t="s">
        <v>3032</v>
      </c>
      <c r="Q467" s="8" t="s">
        <v>56</v>
      </c>
      <c r="R467" s="10" t="s">
        <v>3033</v>
      </c>
      <c r="S467" s="11"/>
      <c r="T467" s="6"/>
      <c r="U467" s="28" t="str">
        <f>HYPERLINK("https://media.infra-m.ru/1926/1926404/cover/1926404.jpg", "Обложка")</f>
        <v>Обложка</v>
      </c>
      <c r="V467" s="28" t="str">
        <f>HYPERLINK("https://znanium.ru/catalog/product/1926404", "Ознакомиться")</f>
        <v>Ознакомиться</v>
      </c>
      <c r="W467" s="8" t="s">
        <v>1334</v>
      </c>
      <c r="X467" s="6"/>
      <c r="Y467" s="6"/>
      <c r="Z467" s="6"/>
      <c r="AA467" s="6" t="s">
        <v>111</v>
      </c>
    </row>
    <row r="468" spans="1:27" s="4" customFormat="1" ht="42" customHeight="1">
      <c r="A468" s="5">
        <v>0</v>
      </c>
      <c r="B468" s="6" t="s">
        <v>3034</v>
      </c>
      <c r="C468" s="7">
        <v>1551</v>
      </c>
      <c r="D468" s="8" t="s">
        <v>3035</v>
      </c>
      <c r="E468" s="8" t="s">
        <v>3036</v>
      </c>
      <c r="F468" s="8" t="s">
        <v>3037</v>
      </c>
      <c r="G468" s="6" t="s">
        <v>123</v>
      </c>
      <c r="H468" s="6" t="s">
        <v>725</v>
      </c>
      <c r="I468" s="8"/>
      <c r="J468" s="14">
        <v>0</v>
      </c>
      <c r="K468" s="9">
        <v>304</v>
      </c>
      <c r="L468" s="9">
        <v>2022</v>
      </c>
      <c r="M468" s="8" t="s">
        <v>3038</v>
      </c>
      <c r="N468" s="8" t="s">
        <v>41</v>
      </c>
      <c r="O468" s="8" t="s">
        <v>65</v>
      </c>
      <c r="P468" s="6" t="s">
        <v>43</v>
      </c>
      <c r="Q468" s="8" t="s">
        <v>44</v>
      </c>
      <c r="R468" s="10"/>
      <c r="S468" s="11"/>
      <c r="T468" s="6"/>
      <c r="U468" s="28" t="str">
        <f>HYPERLINK("https://media.infra-m.ru/1973/1973505/cover/1973505.jpg", "Обложка")</f>
        <v>Обложка</v>
      </c>
      <c r="V468" s="12"/>
      <c r="W468" s="8" t="s">
        <v>273</v>
      </c>
      <c r="X468" s="6"/>
      <c r="Y468" s="6"/>
      <c r="Z468" s="6"/>
      <c r="AA468" s="6" t="s">
        <v>103</v>
      </c>
    </row>
    <row r="469" spans="1:27" s="4" customFormat="1" ht="51.95" customHeight="1">
      <c r="A469" s="5">
        <v>0</v>
      </c>
      <c r="B469" s="6" t="s">
        <v>3039</v>
      </c>
      <c r="C469" s="7">
        <v>1530</v>
      </c>
      <c r="D469" s="8" t="s">
        <v>3040</v>
      </c>
      <c r="E469" s="8" t="s">
        <v>3041</v>
      </c>
      <c r="F469" s="8" t="s">
        <v>2229</v>
      </c>
      <c r="G469" s="6" t="s">
        <v>83</v>
      </c>
      <c r="H469" s="6" t="s">
        <v>38</v>
      </c>
      <c r="I469" s="8" t="s">
        <v>164</v>
      </c>
      <c r="J469" s="9">
        <v>1</v>
      </c>
      <c r="K469" s="9">
        <v>339</v>
      </c>
      <c r="L469" s="9">
        <v>2023</v>
      </c>
      <c r="M469" s="8" t="s">
        <v>3042</v>
      </c>
      <c r="N469" s="8" t="s">
        <v>41</v>
      </c>
      <c r="O469" s="8" t="s">
        <v>65</v>
      </c>
      <c r="P469" s="6" t="s">
        <v>176</v>
      </c>
      <c r="Q469" s="8" t="s">
        <v>56</v>
      </c>
      <c r="R469" s="10" t="s">
        <v>3043</v>
      </c>
      <c r="S469" s="11" t="s">
        <v>3044</v>
      </c>
      <c r="T469" s="6"/>
      <c r="U469" s="28" t="str">
        <f>HYPERLINK("https://media.infra-m.ru/1904/1904665/cover/1904665.jpg", "Обложка")</f>
        <v>Обложка</v>
      </c>
      <c r="V469" s="28" t="str">
        <f>HYPERLINK("https://znanium.ru/catalog/product/1904665", "Ознакомиться")</f>
        <v>Ознакомиться</v>
      </c>
      <c r="W469" s="8" t="s">
        <v>2060</v>
      </c>
      <c r="X469" s="6"/>
      <c r="Y469" s="6"/>
      <c r="Z469" s="6"/>
      <c r="AA469" s="6" t="s">
        <v>193</v>
      </c>
    </row>
    <row r="470" spans="1:27" s="4" customFormat="1" ht="51.95" customHeight="1">
      <c r="A470" s="5">
        <v>0</v>
      </c>
      <c r="B470" s="6" t="s">
        <v>3045</v>
      </c>
      <c r="C470" s="7">
        <v>1140</v>
      </c>
      <c r="D470" s="8" t="s">
        <v>3046</v>
      </c>
      <c r="E470" s="8" t="s">
        <v>3047</v>
      </c>
      <c r="F470" s="8" t="s">
        <v>3048</v>
      </c>
      <c r="G470" s="6" t="s">
        <v>83</v>
      </c>
      <c r="H470" s="6" t="s">
        <v>38</v>
      </c>
      <c r="I470" s="8" t="s">
        <v>155</v>
      </c>
      <c r="J470" s="9">
        <v>1</v>
      </c>
      <c r="K470" s="9">
        <v>248</v>
      </c>
      <c r="L470" s="9">
        <v>2024</v>
      </c>
      <c r="M470" s="8" t="s">
        <v>3049</v>
      </c>
      <c r="N470" s="8" t="s">
        <v>74</v>
      </c>
      <c r="O470" s="8" t="s">
        <v>75</v>
      </c>
      <c r="P470" s="6" t="s">
        <v>176</v>
      </c>
      <c r="Q470" s="8" t="s">
        <v>177</v>
      </c>
      <c r="R470" s="10" t="s">
        <v>178</v>
      </c>
      <c r="S470" s="11" t="s">
        <v>3050</v>
      </c>
      <c r="T470" s="6"/>
      <c r="U470" s="28" t="str">
        <f>HYPERLINK("https://media.infra-m.ru/2074/2074337/cover/2074337.jpg", "Обложка")</f>
        <v>Обложка</v>
      </c>
      <c r="V470" s="28" t="str">
        <f>HYPERLINK("https://znanium.ru/catalog/product/2074337", "Ознакомиться")</f>
        <v>Ознакомиться</v>
      </c>
      <c r="W470" s="8" t="s">
        <v>3051</v>
      </c>
      <c r="X470" s="6"/>
      <c r="Y470" s="6"/>
      <c r="Z470" s="6"/>
      <c r="AA470" s="6" t="s">
        <v>193</v>
      </c>
    </row>
    <row r="471" spans="1:27" s="4" customFormat="1" ht="44.1" customHeight="1">
      <c r="A471" s="5">
        <v>0</v>
      </c>
      <c r="B471" s="6" t="s">
        <v>3052</v>
      </c>
      <c r="C471" s="7">
        <v>1190</v>
      </c>
      <c r="D471" s="8" t="s">
        <v>3053</v>
      </c>
      <c r="E471" s="8" t="s">
        <v>3054</v>
      </c>
      <c r="F471" s="8" t="s">
        <v>1825</v>
      </c>
      <c r="G471" s="6" t="s">
        <v>83</v>
      </c>
      <c r="H471" s="6" t="s">
        <v>38</v>
      </c>
      <c r="I471" s="8" t="s">
        <v>795</v>
      </c>
      <c r="J471" s="9">
        <v>1</v>
      </c>
      <c r="K471" s="9">
        <v>257</v>
      </c>
      <c r="L471" s="9">
        <v>2023</v>
      </c>
      <c r="M471" s="8" t="s">
        <v>3055</v>
      </c>
      <c r="N471" s="8" t="s">
        <v>74</v>
      </c>
      <c r="O471" s="8" t="s">
        <v>75</v>
      </c>
      <c r="P471" s="6" t="s">
        <v>378</v>
      </c>
      <c r="Q471" s="8" t="s">
        <v>44</v>
      </c>
      <c r="R471" s="10" t="s">
        <v>3056</v>
      </c>
      <c r="S471" s="11"/>
      <c r="T471" s="6"/>
      <c r="U471" s="28" t="str">
        <f>HYPERLINK("https://media.infra-m.ru/1898/1898771/cover/1898771.jpg", "Обложка")</f>
        <v>Обложка</v>
      </c>
      <c r="V471" s="28" t="str">
        <f>HYPERLINK("https://znanium.ru/catalog/product/1898771", "Ознакомиться")</f>
        <v>Ознакомиться</v>
      </c>
      <c r="W471" s="8" t="s">
        <v>1827</v>
      </c>
      <c r="X471" s="6"/>
      <c r="Y471" s="6"/>
      <c r="Z471" s="6"/>
      <c r="AA471" s="6" t="s">
        <v>68</v>
      </c>
    </row>
    <row r="472" spans="1:27" s="4" customFormat="1" ht="42" customHeight="1">
      <c r="A472" s="5">
        <v>0</v>
      </c>
      <c r="B472" s="6" t="s">
        <v>3057</v>
      </c>
      <c r="C472" s="13">
        <v>454</v>
      </c>
      <c r="D472" s="8" t="s">
        <v>3058</v>
      </c>
      <c r="E472" s="8" t="s">
        <v>3059</v>
      </c>
      <c r="F472" s="8" t="s">
        <v>1906</v>
      </c>
      <c r="G472" s="6" t="s">
        <v>37</v>
      </c>
      <c r="H472" s="6" t="s">
        <v>38</v>
      </c>
      <c r="I472" s="8" t="s">
        <v>39</v>
      </c>
      <c r="J472" s="9">
        <v>1</v>
      </c>
      <c r="K472" s="9">
        <v>88</v>
      </c>
      <c r="L472" s="9">
        <v>2023</v>
      </c>
      <c r="M472" s="8" t="s">
        <v>3060</v>
      </c>
      <c r="N472" s="8" t="s">
        <v>74</v>
      </c>
      <c r="O472" s="8" t="s">
        <v>75</v>
      </c>
      <c r="P472" s="6" t="s">
        <v>43</v>
      </c>
      <c r="Q472" s="8" t="s">
        <v>44</v>
      </c>
      <c r="R472" s="10" t="s">
        <v>3061</v>
      </c>
      <c r="S472" s="11"/>
      <c r="T472" s="6"/>
      <c r="U472" s="28" t="str">
        <f>HYPERLINK("https://media.infra-m.ru/2067/2067281/cover/2067281.jpg", "Обложка")</f>
        <v>Обложка</v>
      </c>
      <c r="V472" s="28" t="str">
        <f>HYPERLINK("https://znanium.ru/catalog/product/2061518", "Ознакомиться")</f>
        <v>Ознакомиться</v>
      </c>
      <c r="W472" s="8" t="s">
        <v>1841</v>
      </c>
      <c r="X472" s="6"/>
      <c r="Y472" s="6"/>
      <c r="Z472" s="6"/>
      <c r="AA472" s="6" t="s">
        <v>78</v>
      </c>
    </row>
    <row r="473" spans="1:27" s="4" customFormat="1" ht="51.95" customHeight="1">
      <c r="A473" s="5">
        <v>0</v>
      </c>
      <c r="B473" s="6" t="s">
        <v>3062</v>
      </c>
      <c r="C473" s="13">
        <v>850</v>
      </c>
      <c r="D473" s="8" t="s">
        <v>3063</v>
      </c>
      <c r="E473" s="8" t="s">
        <v>3064</v>
      </c>
      <c r="F473" s="8" t="s">
        <v>3065</v>
      </c>
      <c r="G473" s="6" t="s">
        <v>37</v>
      </c>
      <c r="H473" s="6" t="s">
        <v>38</v>
      </c>
      <c r="I473" s="8" t="s">
        <v>39</v>
      </c>
      <c r="J473" s="9">
        <v>1</v>
      </c>
      <c r="K473" s="9">
        <v>219</v>
      </c>
      <c r="L473" s="9">
        <v>2022</v>
      </c>
      <c r="M473" s="8" t="s">
        <v>3066</v>
      </c>
      <c r="N473" s="8" t="s">
        <v>74</v>
      </c>
      <c r="O473" s="8" t="s">
        <v>75</v>
      </c>
      <c r="P473" s="6" t="s">
        <v>43</v>
      </c>
      <c r="Q473" s="8" t="s">
        <v>44</v>
      </c>
      <c r="R473" s="10" t="s">
        <v>3067</v>
      </c>
      <c r="S473" s="11"/>
      <c r="T473" s="6"/>
      <c r="U473" s="28" t="str">
        <f>HYPERLINK("https://media.infra-m.ru/1851/1851434/cover/1851434.jpg", "Обложка")</f>
        <v>Обложка</v>
      </c>
      <c r="V473" s="28" t="str">
        <f>HYPERLINK("https://znanium.ru/catalog/product/1851434", "Ознакомиться")</f>
        <v>Ознакомиться</v>
      </c>
      <c r="W473" s="8" t="s">
        <v>2060</v>
      </c>
      <c r="X473" s="6"/>
      <c r="Y473" s="6"/>
      <c r="Z473" s="6"/>
      <c r="AA473" s="6" t="s">
        <v>47</v>
      </c>
    </row>
    <row r="474" spans="1:27" s="4" customFormat="1" ht="42" customHeight="1">
      <c r="A474" s="5">
        <v>0</v>
      </c>
      <c r="B474" s="6" t="s">
        <v>3068</v>
      </c>
      <c r="C474" s="13">
        <v>500</v>
      </c>
      <c r="D474" s="8" t="s">
        <v>3069</v>
      </c>
      <c r="E474" s="8" t="s">
        <v>3070</v>
      </c>
      <c r="F474" s="8" t="s">
        <v>3071</v>
      </c>
      <c r="G474" s="6" t="s">
        <v>37</v>
      </c>
      <c r="H474" s="6" t="s">
        <v>38</v>
      </c>
      <c r="I474" s="8" t="s">
        <v>39</v>
      </c>
      <c r="J474" s="9">
        <v>1</v>
      </c>
      <c r="K474" s="9">
        <v>128</v>
      </c>
      <c r="L474" s="9">
        <v>2022</v>
      </c>
      <c r="M474" s="8" t="s">
        <v>3072</v>
      </c>
      <c r="N474" s="8" t="s">
        <v>74</v>
      </c>
      <c r="O474" s="8" t="s">
        <v>75</v>
      </c>
      <c r="P474" s="6" t="s">
        <v>43</v>
      </c>
      <c r="Q474" s="8" t="s">
        <v>44</v>
      </c>
      <c r="R474" s="10" t="s">
        <v>460</v>
      </c>
      <c r="S474" s="11"/>
      <c r="T474" s="6"/>
      <c r="U474" s="28" t="str">
        <f>HYPERLINK("https://media.infra-m.ru/1840/1840473/cover/1840473.jpg", "Обложка")</f>
        <v>Обложка</v>
      </c>
      <c r="V474" s="28" t="str">
        <f>HYPERLINK("https://znanium.ru/catalog/product/1840473", "Ознакомиться")</f>
        <v>Ознакомиться</v>
      </c>
      <c r="W474" s="8" t="s">
        <v>3073</v>
      </c>
      <c r="X474" s="6"/>
      <c r="Y474" s="6"/>
      <c r="Z474" s="6"/>
      <c r="AA474" s="6" t="s">
        <v>2336</v>
      </c>
    </row>
    <row r="475" spans="1:27" s="4" customFormat="1" ht="51.95" customHeight="1">
      <c r="A475" s="5">
        <v>0</v>
      </c>
      <c r="B475" s="6" t="s">
        <v>3074</v>
      </c>
      <c r="C475" s="13">
        <v>920</v>
      </c>
      <c r="D475" s="8" t="s">
        <v>3075</v>
      </c>
      <c r="E475" s="8" t="s">
        <v>3076</v>
      </c>
      <c r="F475" s="8" t="s">
        <v>406</v>
      </c>
      <c r="G475" s="6" t="s">
        <v>123</v>
      </c>
      <c r="H475" s="6" t="s">
        <v>38</v>
      </c>
      <c r="I475" s="8" t="s">
        <v>164</v>
      </c>
      <c r="J475" s="9">
        <v>1</v>
      </c>
      <c r="K475" s="9">
        <v>315</v>
      </c>
      <c r="L475" s="9">
        <v>2017</v>
      </c>
      <c r="M475" s="8" t="s">
        <v>3077</v>
      </c>
      <c r="N475" s="8" t="s">
        <v>41</v>
      </c>
      <c r="O475" s="8" t="s">
        <v>54</v>
      </c>
      <c r="P475" s="6" t="s">
        <v>55</v>
      </c>
      <c r="Q475" s="8" t="s">
        <v>56</v>
      </c>
      <c r="R475" s="10" t="s">
        <v>3078</v>
      </c>
      <c r="S475" s="11" t="s">
        <v>3079</v>
      </c>
      <c r="T475" s="6"/>
      <c r="U475" s="28" t="str">
        <f>HYPERLINK("https://media.infra-m.ru/0762/0762501/cover/762501.jpg", "Обложка")</f>
        <v>Обложка</v>
      </c>
      <c r="V475" s="28" t="str">
        <f>HYPERLINK("https://znanium.ru/catalog/product/1542154", "Ознакомиться")</f>
        <v>Ознакомиться</v>
      </c>
      <c r="W475" s="8" t="s">
        <v>409</v>
      </c>
      <c r="X475" s="6"/>
      <c r="Y475" s="6"/>
      <c r="Z475" s="6"/>
      <c r="AA475" s="6" t="s">
        <v>650</v>
      </c>
    </row>
    <row r="476" spans="1:27" s="4" customFormat="1" ht="51.95" customHeight="1">
      <c r="A476" s="5">
        <v>0</v>
      </c>
      <c r="B476" s="6" t="s">
        <v>3080</v>
      </c>
      <c r="C476" s="7">
        <v>1444</v>
      </c>
      <c r="D476" s="8" t="s">
        <v>3081</v>
      </c>
      <c r="E476" s="8" t="s">
        <v>3082</v>
      </c>
      <c r="F476" s="8" t="s">
        <v>406</v>
      </c>
      <c r="G476" s="6" t="s">
        <v>83</v>
      </c>
      <c r="H476" s="6" t="s">
        <v>38</v>
      </c>
      <c r="I476" s="8" t="s">
        <v>164</v>
      </c>
      <c r="J476" s="9">
        <v>1</v>
      </c>
      <c r="K476" s="9">
        <v>315</v>
      </c>
      <c r="L476" s="9">
        <v>2024</v>
      </c>
      <c r="M476" s="8" t="s">
        <v>3083</v>
      </c>
      <c r="N476" s="8" t="s">
        <v>41</v>
      </c>
      <c r="O476" s="8" t="s">
        <v>54</v>
      </c>
      <c r="P476" s="6" t="s">
        <v>55</v>
      </c>
      <c r="Q476" s="8" t="s">
        <v>56</v>
      </c>
      <c r="R476" s="10" t="s">
        <v>3078</v>
      </c>
      <c r="S476" s="11" t="s">
        <v>3084</v>
      </c>
      <c r="T476" s="6"/>
      <c r="U476" s="28" t="str">
        <f>HYPERLINK("https://media.infra-m.ru/2112/2112516/cover/2112516.jpg", "Обложка")</f>
        <v>Обложка</v>
      </c>
      <c r="V476" s="28" t="str">
        <f>HYPERLINK("https://znanium.ru/catalog/product/1542154", "Ознакомиться")</f>
        <v>Ознакомиться</v>
      </c>
      <c r="W476" s="8" t="s">
        <v>409</v>
      </c>
      <c r="X476" s="6"/>
      <c r="Y476" s="6"/>
      <c r="Z476" s="6"/>
      <c r="AA476" s="6" t="s">
        <v>150</v>
      </c>
    </row>
    <row r="477" spans="1:27" s="4" customFormat="1" ht="42" customHeight="1">
      <c r="A477" s="5">
        <v>0</v>
      </c>
      <c r="B477" s="6" t="s">
        <v>3085</v>
      </c>
      <c r="C477" s="13">
        <v>540</v>
      </c>
      <c r="D477" s="8" t="s">
        <v>3086</v>
      </c>
      <c r="E477" s="8" t="s">
        <v>3087</v>
      </c>
      <c r="F477" s="8" t="s">
        <v>3088</v>
      </c>
      <c r="G477" s="6" t="s">
        <v>37</v>
      </c>
      <c r="H477" s="6" t="s">
        <v>38</v>
      </c>
      <c r="I477" s="8" t="s">
        <v>500</v>
      </c>
      <c r="J477" s="9">
        <v>1</v>
      </c>
      <c r="K477" s="9">
        <v>110</v>
      </c>
      <c r="L477" s="9">
        <v>2024</v>
      </c>
      <c r="M477" s="8" t="s">
        <v>3089</v>
      </c>
      <c r="N477" s="8" t="s">
        <v>74</v>
      </c>
      <c r="O477" s="8" t="s">
        <v>75</v>
      </c>
      <c r="P477" s="6" t="s">
        <v>55</v>
      </c>
      <c r="Q477" s="8" t="s">
        <v>177</v>
      </c>
      <c r="R477" s="10" t="s">
        <v>3090</v>
      </c>
      <c r="S477" s="11"/>
      <c r="T477" s="6"/>
      <c r="U477" s="28" t="str">
        <f>HYPERLINK("https://media.infra-m.ru/2130/2130483/cover/2130483.jpg", "Обложка")</f>
        <v>Обложка</v>
      </c>
      <c r="V477" s="12"/>
      <c r="W477" s="8" t="s">
        <v>327</v>
      </c>
      <c r="X477" s="6" t="s">
        <v>582</v>
      </c>
      <c r="Y477" s="6"/>
      <c r="Z477" s="6"/>
      <c r="AA477" s="6" t="s">
        <v>180</v>
      </c>
    </row>
    <row r="478" spans="1:27" s="4" customFormat="1" ht="51.95" customHeight="1">
      <c r="A478" s="5">
        <v>0</v>
      </c>
      <c r="B478" s="6" t="s">
        <v>3091</v>
      </c>
      <c r="C478" s="7">
        <v>1660</v>
      </c>
      <c r="D478" s="8" t="s">
        <v>3092</v>
      </c>
      <c r="E478" s="8" t="s">
        <v>3093</v>
      </c>
      <c r="F478" s="8" t="s">
        <v>3094</v>
      </c>
      <c r="G478" s="6" t="s">
        <v>83</v>
      </c>
      <c r="H478" s="6" t="s">
        <v>38</v>
      </c>
      <c r="I478" s="8" t="s">
        <v>205</v>
      </c>
      <c r="J478" s="9">
        <v>1</v>
      </c>
      <c r="K478" s="9">
        <v>395</v>
      </c>
      <c r="L478" s="9">
        <v>2022</v>
      </c>
      <c r="M478" s="8" t="s">
        <v>3095</v>
      </c>
      <c r="N478" s="8" t="s">
        <v>74</v>
      </c>
      <c r="O478" s="8" t="s">
        <v>75</v>
      </c>
      <c r="P478" s="6" t="s">
        <v>55</v>
      </c>
      <c r="Q478" s="8" t="s">
        <v>207</v>
      </c>
      <c r="R478" s="10" t="s">
        <v>3096</v>
      </c>
      <c r="S478" s="11" t="s">
        <v>3097</v>
      </c>
      <c r="T478" s="6" t="s">
        <v>190</v>
      </c>
      <c r="U478" s="28" t="str">
        <f>HYPERLINK("https://media.infra-m.ru/1863/1863925/cover/1863925.jpg", "Обложка")</f>
        <v>Обложка</v>
      </c>
      <c r="V478" s="28" t="str">
        <f>HYPERLINK("https://znanium.ru/catalog/product/1863925", "Ознакомиться")</f>
        <v>Ознакомиться</v>
      </c>
      <c r="W478" s="8" t="s">
        <v>3098</v>
      </c>
      <c r="X478" s="6"/>
      <c r="Y478" s="6"/>
      <c r="Z478" s="6" t="s">
        <v>235</v>
      </c>
      <c r="AA478" s="6" t="s">
        <v>78</v>
      </c>
    </row>
    <row r="479" spans="1:27" s="4" customFormat="1" ht="51.95" customHeight="1">
      <c r="A479" s="5">
        <v>0</v>
      </c>
      <c r="B479" s="6" t="s">
        <v>3099</v>
      </c>
      <c r="C479" s="7">
        <v>1780</v>
      </c>
      <c r="D479" s="8" t="s">
        <v>3100</v>
      </c>
      <c r="E479" s="8" t="s">
        <v>3093</v>
      </c>
      <c r="F479" s="8" t="s">
        <v>3094</v>
      </c>
      <c r="G479" s="6" t="s">
        <v>83</v>
      </c>
      <c r="H479" s="6" t="s">
        <v>38</v>
      </c>
      <c r="I479" s="8" t="s">
        <v>164</v>
      </c>
      <c r="J479" s="9">
        <v>1</v>
      </c>
      <c r="K479" s="9">
        <v>396</v>
      </c>
      <c r="L479" s="9">
        <v>2023</v>
      </c>
      <c r="M479" s="8" t="s">
        <v>3101</v>
      </c>
      <c r="N479" s="8" t="s">
        <v>74</v>
      </c>
      <c r="O479" s="8" t="s">
        <v>75</v>
      </c>
      <c r="P479" s="6" t="s">
        <v>55</v>
      </c>
      <c r="Q479" s="8" t="s">
        <v>56</v>
      </c>
      <c r="R479" s="10" t="s">
        <v>2097</v>
      </c>
      <c r="S479" s="11" t="s">
        <v>3102</v>
      </c>
      <c r="T479" s="6" t="s">
        <v>190</v>
      </c>
      <c r="U479" s="28" t="str">
        <f>HYPERLINK("https://media.infra-m.ru/1893/1893813/cover/1893813.jpg", "Обложка")</f>
        <v>Обложка</v>
      </c>
      <c r="V479" s="28" t="str">
        <f>HYPERLINK("https://znanium.ru/catalog/product/1893813", "Ознакомиться")</f>
        <v>Ознакомиться</v>
      </c>
      <c r="W479" s="8" t="s">
        <v>3098</v>
      </c>
      <c r="X479" s="6"/>
      <c r="Y479" s="6"/>
      <c r="Z479" s="6"/>
      <c r="AA479" s="6" t="s">
        <v>364</v>
      </c>
    </row>
    <row r="480" spans="1:27" s="4" customFormat="1" ht="51.95" customHeight="1">
      <c r="A480" s="5">
        <v>0</v>
      </c>
      <c r="B480" s="6" t="s">
        <v>3103</v>
      </c>
      <c r="C480" s="7">
        <v>1804</v>
      </c>
      <c r="D480" s="8" t="s">
        <v>3104</v>
      </c>
      <c r="E480" s="8" t="s">
        <v>3105</v>
      </c>
      <c r="F480" s="8" t="s">
        <v>3106</v>
      </c>
      <c r="G480" s="6" t="s">
        <v>123</v>
      </c>
      <c r="H480" s="6" t="s">
        <v>38</v>
      </c>
      <c r="I480" s="8" t="s">
        <v>164</v>
      </c>
      <c r="J480" s="9">
        <v>1</v>
      </c>
      <c r="K480" s="9">
        <v>384</v>
      </c>
      <c r="L480" s="9">
        <v>2024</v>
      </c>
      <c r="M480" s="8" t="s">
        <v>3107</v>
      </c>
      <c r="N480" s="8" t="s">
        <v>74</v>
      </c>
      <c r="O480" s="8" t="s">
        <v>75</v>
      </c>
      <c r="P480" s="6" t="s">
        <v>55</v>
      </c>
      <c r="Q480" s="8" t="s">
        <v>56</v>
      </c>
      <c r="R480" s="10" t="s">
        <v>3108</v>
      </c>
      <c r="S480" s="11" t="s">
        <v>3109</v>
      </c>
      <c r="T480" s="6"/>
      <c r="U480" s="28" t="str">
        <f>HYPERLINK("https://media.infra-m.ru/2140/2140954/cover/2140954.jpg", "Обложка")</f>
        <v>Обложка</v>
      </c>
      <c r="V480" s="28" t="str">
        <f>HYPERLINK("https://znanium.ru/catalog/product/2113424", "Ознакомиться")</f>
        <v>Ознакомиться</v>
      </c>
      <c r="W480" s="8" t="s">
        <v>3098</v>
      </c>
      <c r="X480" s="6"/>
      <c r="Y480" s="6"/>
      <c r="Z480" s="6"/>
      <c r="AA480" s="6" t="s">
        <v>103</v>
      </c>
    </row>
    <row r="481" spans="1:27" s="4" customFormat="1" ht="42" customHeight="1">
      <c r="A481" s="5">
        <v>0</v>
      </c>
      <c r="B481" s="6" t="s">
        <v>3110</v>
      </c>
      <c r="C481" s="7">
        <v>1630</v>
      </c>
      <c r="D481" s="8" t="s">
        <v>3111</v>
      </c>
      <c r="E481" s="8" t="s">
        <v>3112</v>
      </c>
      <c r="F481" s="8" t="s">
        <v>3023</v>
      </c>
      <c r="G481" s="6" t="s">
        <v>83</v>
      </c>
      <c r="H481" s="6" t="s">
        <v>38</v>
      </c>
      <c r="I481" s="8" t="s">
        <v>185</v>
      </c>
      <c r="J481" s="9">
        <v>1</v>
      </c>
      <c r="K481" s="9">
        <v>347</v>
      </c>
      <c r="L481" s="9">
        <v>2024</v>
      </c>
      <c r="M481" s="8" t="s">
        <v>3113</v>
      </c>
      <c r="N481" s="8" t="s">
        <v>74</v>
      </c>
      <c r="O481" s="8" t="s">
        <v>75</v>
      </c>
      <c r="P481" s="6" t="s">
        <v>176</v>
      </c>
      <c r="Q481" s="8" t="s">
        <v>187</v>
      </c>
      <c r="R481" s="10" t="s">
        <v>3114</v>
      </c>
      <c r="S481" s="11"/>
      <c r="T481" s="6"/>
      <c r="U481" s="28" t="str">
        <f>HYPERLINK("https://media.infra-m.ru/2058/2058784/cover/2058784.jpg", "Обложка")</f>
        <v>Обложка</v>
      </c>
      <c r="V481" s="28" t="str">
        <f>HYPERLINK("https://znanium.ru/catalog/product/2058784", "Ознакомиться")</f>
        <v>Ознакомиться</v>
      </c>
      <c r="W481" s="8" t="s">
        <v>3027</v>
      </c>
      <c r="X481" s="6"/>
      <c r="Y481" s="6"/>
      <c r="Z481" s="6"/>
      <c r="AA481" s="6" t="s">
        <v>78</v>
      </c>
    </row>
    <row r="482" spans="1:27" s="4" customFormat="1" ht="51.95" customHeight="1">
      <c r="A482" s="5">
        <v>0</v>
      </c>
      <c r="B482" s="6" t="s">
        <v>3115</v>
      </c>
      <c r="C482" s="13">
        <v>730</v>
      </c>
      <c r="D482" s="8" t="s">
        <v>3116</v>
      </c>
      <c r="E482" s="8" t="s">
        <v>3117</v>
      </c>
      <c r="F482" s="8" t="s">
        <v>3118</v>
      </c>
      <c r="G482" s="6" t="s">
        <v>83</v>
      </c>
      <c r="H482" s="6" t="s">
        <v>38</v>
      </c>
      <c r="I482" s="8" t="s">
        <v>155</v>
      </c>
      <c r="J482" s="9">
        <v>1</v>
      </c>
      <c r="K482" s="9">
        <v>152</v>
      </c>
      <c r="L482" s="9">
        <v>2024</v>
      </c>
      <c r="M482" s="8" t="s">
        <v>3119</v>
      </c>
      <c r="N482" s="8" t="s">
        <v>74</v>
      </c>
      <c r="O482" s="8" t="s">
        <v>75</v>
      </c>
      <c r="P482" s="6" t="s">
        <v>55</v>
      </c>
      <c r="Q482" s="8" t="s">
        <v>56</v>
      </c>
      <c r="R482" s="10" t="s">
        <v>3120</v>
      </c>
      <c r="S482" s="11" t="s">
        <v>3121</v>
      </c>
      <c r="T482" s="6" t="s">
        <v>190</v>
      </c>
      <c r="U482" s="28" t="str">
        <f>HYPERLINK("https://media.infra-m.ru/2096/2096820/cover/2096820.jpg", "Обложка")</f>
        <v>Обложка</v>
      </c>
      <c r="V482" s="28" t="str">
        <f>HYPERLINK("https://znanium.ru/catalog/product/2096820", "Ознакомиться")</f>
        <v>Ознакомиться</v>
      </c>
      <c r="W482" s="8" t="s">
        <v>3051</v>
      </c>
      <c r="X482" s="6"/>
      <c r="Y482" s="6"/>
      <c r="Z482" s="6"/>
      <c r="AA482" s="6" t="s">
        <v>650</v>
      </c>
    </row>
    <row r="483" spans="1:27" s="4" customFormat="1" ht="51.95" customHeight="1">
      <c r="A483" s="5">
        <v>0</v>
      </c>
      <c r="B483" s="6" t="s">
        <v>3122</v>
      </c>
      <c r="C483" s="7">
        <v>1360</v>
      </c>
      <c r="D483" s="8" t="s">
        <v>3123</v>
      </c>
      <c r="E483" s="8" t="s">
        <v>3124</v>
      </c>
      <c r="F483" s="8" t="s">
        <v>507</v>
      </c>
      <c r="G483" s="6" t="s">
        <v>83</v>
      </c>
      <c r="H483" s="6" t="s">
        <v>38</v>
      </c>
      <c r="I483" s="8" t="s">
        <v>164</v>
      </c>
      <c r="J483" s="9">
        <v>1</v>
      </c>
      <c r="K483" s="9">
        <v>295</v>
      </c>
      <c r="L483" s="9">
        <v>2023</v>
      </c>
      <c r="M483" s="8" t="s">
        <v>3125</v>
      </c>
      <c r="N483" s="8" t="s">
        <v>74</v>
      </c>
      <c r="O483" s="8" t="s">
        <v>75</v>
      </c>
      <c r="P483" s="6" t="s">
        <v>55</v>
      </c>
      <c r="Q483" s="8" t="s">
        <v>56</v>
      </c>
      <c r="R483" s="10" t="s">
        <v>3126</v>
      </c>
      <c r="S483" s="11" t="s">
        <v>3127</v>
      </c>
      <c r="T483" s="6"/>
      <c r="U483" s="28" t="str">
        <f>HYPERLINK("https://media.infra-m.ru/1933/1933173/cover/1933173.jpg", "Обложка")</f>
        <v>Обложка</v>
      </c>
      <c r="V483" s="28" t="str">
        <f>HYPERLINK("https://znanium.ru/catalog/product/1933173", "Ознакомиться")</f>
        <v>Ознакомиться</v>
      </c>
      <c r="W483" s="8" t="s">
        <v>511</v>
      </c>
      <c r="X483" s="6"/>
      <c r="Y483" s="6"/>
      <c r="Z483" s="6"/>
      <c r="AA483" s="6" t="s">
        <v>103</v>
      </c>
    </row>
    <row r="484" spans="1:27" s="4" customFormat="1" ht="44.1" customHeight="1">
      <c r="A484" s="5">
        <v>0</v>
      </c>
      <c r="B484" s="6" t="s">
        <v>3128</v>
      </c>
      <c r="C484" s="7">
        <v>1044</v>
      </c>
      <c r="D484" s="8" t="s">
        <v>3129</v>
      </c>
      <c r="E484" s="8" t="s">
        <v>3130</v>
      </c>
      <c r="F484" s="8" t="s">
        <v>3131</v>
      </c>
      <c r="G484" s="6" t="s">
        <v>83</v>
      </c>
      <c r="H484" s="6" t="s">
        <v>317</v>
      </c>
      <c r="I484" s="8" t="s">
        <v>39</v>
      </c>
      <c r="J484" s="9">
        <v>1</v>
      </c>
      <c r="K484" s="9">
        <v>220</v>
      </c>
      <c r="L484" s="9">
        <v>2024</v>
      </c>
      <c r="M484" s="8" t="s">
        <v>3132</v>
      </c>
      <c r="N484" s="8" t="s">
        <v>74</v>
      </c>
      <c r="O484" s="8" t="s">
        <v>109</v>
      </c>
      <c r="P484" s="6" t="s">
        <v>43</v>
      </c>
      <c r="Q484" s="8" t="s">
        <v>44</v>
      </c>
      <c r="R484" s="10" t="s">
        <v>3133</v>
      </c>
      <c r="S484" s="11"/>
      <c r="T484" s="6"/>
      <c r="U484" s="28" t="str">
        <f>HYPERLINK("https://media.infra-m.ru/2150/2150021/cover/2150021.jpg", "Обложка")</f>
        <v>Обложка</v>
      </c>
      <c r="V484" s="12"/>
      <c r="W484" s="8" t="s">
        <v>962</v>
      </c>
      <c r="X484" s="6"/>
      <c r="Y484" s="6"/>
      <c r="Z484" s="6"/>
      <c r="AA484" s="6" t="s">
        <v>103</v>
      </c>
    </row>
    <row r="485" spans="1:27" s="4" customFormat="1" ht="42" customHeight="1">
      <c r="A485" s="5">
        <v>0</v>
      </c>
      <c r="B485" s="6" t="s">
        <v>3134</v>
      </c>
      <c r="C485" s="7">
        <v>1344</v>
      </c>
      <c r="D485" s="8" t="s">
        <v>3135</v>
      </c>
      <c r="E485" s="8" t="s">
        <v>3136</v>
      </c>
      <c r="F485" s="8" t="s">
        <v>420</v>
      </c>
      <c r="G485" s="6" t="s">
        <v>37</v>
      </c>
      <c r="H485" s="6" t="s">
        <v>38</v>
      </c>
      <c r="I485" s="8" t="s">
        <v>39</v>
      </c>
      <c r="J485" s="9">
        <v>1</v>
      </c>
      <c r="K485" s="9">
        <v>292</v>
      </c>
      <c r="L485" s="9">
        <v>2023</v>
      </c>
      <c r="M485" s="8" t="s">
        <v>3137</v>
      </c>
      <c r="N485" s="8" t="s">
        <v>74</v>
      </c>
      <c r="O485" s="8" t="s">
        <v>93</v>
      </c>
      <c r="P485" s="6" t="s">
        <v>43</v>
      </c>
      <c r="Q485" s="8" t="s">
        <v>44</v>
      </c>
      <c r="R485" s="10" t="s">
        <v>3138</v>
      </c>
      <c r="S485" s="11"/>
      <c r="T485" s="6"/>
      <c r="U485" s="28" t="str">
        <f>HYPERLINK("https://media.infra-m.ru/1991/1991906/cover/1991906.jpg", "Обложка")</f>
        <v>Обложка</v>
      </c>
      <c r="V485" s="28" t="str">
        <f>HYPERLINK("https://znanium.ru/catalog/product/1991906", "Ознакомиться")</f>
        <v>Ознакомиться</v>
      </c>
      <c r="W485" s="8" t="s">
        <v>423</v>
      </c>
      <c r="X485" s="6"/>
      <c r="Y485" s="6"/>
      <c r="Z485" s="6"/>
      <c r="AA485" s="6" t="s">
        <v>103</v>
      </c>
    </row>
    <row r="486" spans="1:27" s="4" customFormat="1" ht="51.95" customHeight="1">
      <c r="A486" s="5">
        <v>0</v>
      </c>
      <c r="B486" s="6" t="s">
        <v>3139</v>
      </c>
      <c r="C486" s="13">
        <v>740</v>
      </c>
      <c r="D486" s="8" t="s">
        <v>3140</v>
      </c>
      <c r="E486" s="8" t="s">
        <v>3141</v>
      </c>
      <c r="F486" s="8" t="s">
        <v>3142</v>
      </c>
      <c r="G486" s="6" t="s">
        <v>37</v>
      </c>
      <c r="H486" s="6" t="s">
        <v>317</v>
      </c>
      <c r="I486" s="8" t="s">
        <v>164</v>
      </c>
      <c r="J486" s="9">
        <v>1</v>
      </c>
      <c r="K486" s="9">
        <v>159</v>
      </c>
      <c r="L486" s="9">
        <v>2023</v>
      </c>
      <c r="M486" s="8" t="s">
        <v>3143</v>
      </c>
      <c r="N486" s="8" t="s">
        <v>74</v>
      </c>
      <c r="O486" s="8" t="s">
        <v>93</v>
      </c>
      <c r="P486" s="6" t="s">
        <v>55</v>
      </c>
      <c r="Q486" s="8" t="s">
        <v>56</v>
      </c>
      <c r="R486" s="10" t="s">
        <v>3144</v>
      </c>
      <c r="S486" s="11"/>
      <c r="T486" s="6"/>
      <c r="U486" s="28" t="str">
        <f>HYPERLINK("https://media.infra-m.ru/2125/2125178/cover/2125178.jpg", "Обложка")</f>
        <v>Обложка</v>
      </c>
      <c r="V486" s="28" t="str">
        <f>HYPERLINK("https://znanium.ru/catalog/product/2125178", "Ознакомиться")</f>
        <v>Ознакомиться</v>
      </c>
      <c r="W486" s="8" t="s">
        <v>434</v>
      </c>
      <c r="X486" s="6"/>
      <c r="Y486" s="6"/>
      <c r="Z486" s="6"/>
      <c r="AA486" s="6" t="s">
        <v>364</v>
      </c>
    </row>
    <row r="487" spans="1:27" s="4" customFormat="1" ht="51.95" customHeight="1">
      <c r="A487" s="5">
        <v>0</v>
      </c>
      <c r="B487" s="6" t="s">
        <v>3145</v>
      </c>
      <c r="C487" s="13">
        <v>870</v>
      </c>
      <c r="D487" s="8" t="s">
        <v>3146</v>
      </c>
      <c r="E487" s="8" t="s">
        <v>3147</v>
      </c>
      <c r="F487" s="8" t="s">
        <v>3148</v>
      </c>
      <c r="G487" s="6" t="s">
        <v>83</v>
      </c>
      <c r="H487" s="6" t="s">
        <v>38</v>
      </c>
      <c r="I487" s="8" t="s">
        <v>1963</v>
      </c>
      <c r="J487" s="9">
        <v>1</v>
      </c>
      <c r="K487" s="9">
        <v>192</v>
      </c>
      <c r="L487" s="9">
        <v>2023</v>
      </c>
      <c r="M487" s="8" t="s">
        <v>3149</v>
      </c>
      <c r="N487" s="8" t="s">
        <v>74</v>
      </c>
      <c r="O487" s="8" t="s">
        <v>93</v>
      </c>
      <c r="P487" s="6" t="s">
        <v>55</v>
      </c>
      <c r="Q487" s="8" t="s">
        <v>56</v>
      </c>
      <c r="R487" s="10" t="s">
        <v>1738</v>
      </c>
      <c r="S487" s="11" t="s">
        <v>3150</v>
      </c>
      <c r="T487" s="6"/>
      <c r="U487" s="28" t="str">
        <f>HYPERLINK("https://media.infra-m.ru/1939/1939091/cover/1939091.jpg", "Обложка")</f>
        <v>Обложка</v>
      </c>
      <c r="V487" s="28" t="str">
        <f>HYPERLINK("https://znanium.ru/catalog/product/1939091", "Ознакомиться")</f>
        <v>Ознакомиться</v>
      </c>
      <c r="W487" s="8" t="s">
        <v>140</v>
      </c>
      <c r="X487" s="6"/>
      <c r="Y487" s="6"/>
      <c r="Z487" s="6"/>
      <c r="AA487" s="6" t="s">
        <v>193</v>
      </c>
    </row>
    <row r="488" spans="1:27" s="4" customFormat="1" ht="51.95" customHeight="1">
      <c r="A488" s="5">
        <v>0</v>
      </c>
      <c r="B488" s="6" t="s">
        <v>3151</v>
      </c>
      <c r="C488" s="7">
        <v>1340</v>
      </c>
      <c r="D488" s="8" t="s">
        <v>3152</v>
      </c>
      <c r="E488" s="8" t="s">
        <v>3153</v>
      </c>
      <c r="F488" s="8" t="s">
        <v>3154</v>
      </c>
      <c r="G488" s="6" t="s">
        <v>83</v>
      </c>
      <c r="H488" s="6" t="s">
        <v>38</v>
      </c>
      <c r="I488" s="8" t="s">
        <v>155</v>
      </c>
      <c r="J488" s="9">
        <v>1</v>
      </c>
      <c r="K488" s="9">
        <v>290</v>
      </c>
      <c r="L488" s="9">
        <v>2024</v>
      </c>
      <c r="M488" s="8" t="s">
        <v>3155</v>
      </c>
      <c r="N488" s="8" t="s">
        <v>74</v>
      </c>
      <c r="O488" s="8" t="s">
        <v>93</v>
      </c>
      <c r="P488" s="6" t="s">
        <v>55</v>
      </c>
      <c r="Q488" s="8" t="s">
        <v>56</v>
      </c>
      <c r="R488" s="10" t="s">
        <v>3156</v>
      </c>
      <c r="S488" s="11" t="s">
        <v>3157</v>
      </c>
      <c r="T488" s="6"/>
      <c r="U488" s="28" t="str">
        <f>HYPERLINK("https://media.infra-m.ru/2103/2103733/cover/2103733.jpg", "Обложка")</f>
        <v>Обложка</v>
      </c>
      <c r="V488" s="28" t="str">
        <f>HYPERLINK("https://znanium.ru/catalog/product/2103733", "Ознакомиться")</f>
        <v>Ознакомиться</v>
      </c>
      <c r="W488" s="8" t="s">
        <v>2740</v>
      </c>
      <c r="X488" s="6"/>
      <c r="Y488" s="6"/>
      <c r="Z488" s="6"/>
      <c r="AA488" s="6" t="s">
        <v>68</v>
      </c>
    </row>
    <row r="489" spans="1:27" s="4" customFormat="1" ht="51.95" customHeight="1">
      <c r="A489" s="5">
        <v>0</v>
      </c>
      <c r="B489" s="6" t="s">
        <v>3158</v>
      </c>
      <c r="C489" s="7">
        <v>1124</v>
      </c>
      <c r="D489" s="8" t="s">
        <v>3159</v>
      </c>
      <c r="E489" s="8" t="s">
        <v>3160</v>
      </c>
      <c r="F489" s="8" t="s">
        <v>3161</v>
      </c>
      <c r="G489" s="6" t="s">
        <v>83</v>
      </c>
      <c r="H489" s="6" t="s">
        <v>618</v>
      </c>
      <c r="I489" s="8"/>
      <c r="J489" s="9">
        <v>1</v>
      </c>
      <c r="K489" s="9">
        <v>240</v>
      </c>
      <c r="L489" s="9">
        <v>2024</v>
      </c>
      <c r="M489" s="8" t="s">
        <v>3162</v>
      </c>
      <c r="N489" s="8" t="s">
        <v>74</v>
      </c>
      <c r="O489" s="8" t="s">
        <v>93</v>
      </c>
      <c r="P489" s="6" t="s">
        <v>176</v>
      </c>
      <c r="Q489" s="8" t="s">
        <v>56</v>
      </c>
      <c r="R489" s="10" t="s">
        <v>3163</v>
      </c>
      <c r="S489" s="11"/>
      <c r="T489" s="6"/>
      <c r="U489" s="28" t="str">
        <f>HYPERLINK("https://media.infra-m.ru/2149/2149057/cover/2149057.jpg", "Обложка")</f>
        <v>Обложка</v>
      </c>
      <c r="V489" s="28" t="str">
        <f>HYPERLINK("https://znanium.ru/catalog/product/1913844", "Ознакомиться")</f>
        <v>Ознакомиться</v>
      </c>
      <c r="W489" s="8" t="s">
        <v>3164</v>
      </c>
      <c r="X489" s="6"/>
      <c r="Y489" s="6"/>
      <c r="Z489" s="6"/>
      <c r="AA489" s="6" t="s">
        <v>3165</v>
      </c>
    </row>
    <row r="490" spans="1:27" s="4" customFormat="1" ht="51.95" customHeight="1">
      <c r="A490" s="5">
        <v>0</v>
      </c>
      <c r="B490" s="6" t="s">
        <v>3166</v>
      </c>
      <c r="C490" s="7">
        <v>1064</v>
      </c>
      <c r="D490" s="8" t="s">
        <v>3167</v>
      </c>
      <c r="E490" s="8" t="s">
        <v>3168</v>
      </c>
      <c r="F490" s="8" t="s">
        <v>3169</v>
      </c>
      <c r="G490" s="6" t="s">
        <v>83</v>
      </c>
      <c r="H490" s="6" t="s">
        <v>618</v>
      </c>
      <c r="I490" s="8"/>
      <c r="J490" s="9">
        <v>1</v>
      </c>
      <c r="K490" s="9">
        <v>224</v>
      </c>
      <c r="L490" s="9">
        <v>2024</v>
      </c>
      <c r="M490" s="8" t="s">
        <v>3170</v>
      </c>
      <c r="N490" s="8" t="s">
        <v>74</v>
      </c>
      <c r="O490" s="8" t="s">
        <v>93</v>
      </c>
      <c r="P490" s="6" t="s">
        <v>176</v>
      </c>
      <c r="Q490" s="8" t="s">
        <v>56</v>
      </c>
      <c r="R490" s="10" t="s">
        <v>3171</v>
      </c>
      <c r="S490" s="11"/>
      <c r="T490" s="6"/>
      <c r="U490" s="28" t="str">
        <f>HYPERLINK("https://media.infra-m.ru/2141/2141383/cover/2141383.jpg", "Обложка")</f>
        <v>Обложка</v>
      </c>
      <c r="V490" s="28" t="str">
        <f>HYPERLINK("https://znanium.ru/catalog/product/2141383", "Ознакомиться")</f>
        <v>Ознакомиться</v>
      </c>
      <c r="W490" s="8" t="s">
        <v>1334</v>
      </c>
      <c r="X490" s="6"/>
      <c r="Y490" s="6"/>
      <c r="Z490" s="6"/>
      <c r="AA490" s="6" t="s">
        <v>78</v>
      </c>
    </row>
    <row r="491" spans="1:27" s="4" customFormat="1" ht="51.95" customHeight="1">
      <c r="A491" s="5">
        <v>0</v>
      </c>
      <c r="B491" s="6" t="s">
        <v>3172</v>
      </c>
      <c r="C491" s="13">
        <v>454</v>
      </c>
      <c r="D491" s="8" t="s">
        <v>3173</v>
      </c>
      <c r="E491" s="8" t="s">
        <v>3168</v>
      </c>
      <c r="F491" s="8" t="s">
        <v>3174</v>
      </c>
      <c r="G491" s="6" t="s">
        <v>37</v>
      </c>
      <c r="H491" s="6" t="s">
        <v>630</v>
      </c>
      <c r="I491" s="8" t="s">
        <v>164</v>
      </c>
      <c r="J491" s="9">
        <v>1</v>
      </c>
      <c r="K491" s="9">
        <v>96</v>
      </c>
      <c r="L491" s="9">
        <v>2024</v>
      </c>
      <c r="M491" s="8" t="s">
        <v>3175</v>
      </c>
      <c r="N491" s="8" t="s">
        <v>74</v>
      </c>
      <c r="O491" s="8" t="s">
        <v>93</v>
      </c>
      <c r="P491" s="6" t="s">
        <v>55</v>
      </c>
      <c r="Q491" s="8" t="s">
        <v>56</v>
      </c>
      <c r="R491" s="10" t="s">
        <v>3176</v>
      </c>
      <c r="S491" s="11"/>
      <c r="T491" s="6"/>
      <c r="U491" s="28" t="str">
        <f>HYPERLINK("https://media.infra-m.ru/2110/2110938/cover/2110938.jpg", "Обложка")</f>
        <v>Обложка</v>
      </c>
      <c r="V491" s="28" t="str">
        <f>HYPERLINK("https://znanium.ru/catalog/product/2110938", "Ознакомиться")</f>
        <v>Ознакомиться</v>
      </c>
      <c r="W491" s="8" t="s">
        <v>3177</v>
      </c>
      <c r="X491" s="6"/>
      <c r="Y491" s="6"/>
      <c r="Z491" s="6"/>
      <c r="AA491" s="6" t="s">
        <v>47</v>
      </c>
    </row>
    <row r="492" spans="1:27" s="4" customFormat="1" ht="51.95" customHeight="1">
      <c r="A492" s="5">
        <v>0</v>
      </c>
      <c r="B492" s="6" t="s">
        <v>3178</v>
      </c>
      <c r="C492" s="13">
        <v>630</v>
      </c>
      <c r="D492" s="8" t="s">
        <v>3179</v>
      </c>
      <c r="E492" s="8" t="s">
        <v>3168</v>
      </c>
      <c r="F492" s="8" t="s">
        <v>1052</v>
      </c>
      <c r="G492" s="6" t="s">
        <v>37</v>
      </c>
      <c r="H492" s="6" t="s">
        <v>38</v>
      </c>
      <c r="I492" s="8" t="s">
        <v>164</v>
      </c>
      <c r="J492" s="9">
        <v>1</v>
      </c>
      <c r="K492" s="9">
        <v>134</v>
      </c>
      <c r="L492" s="9">
        <v>2023</v>
      </c>
      <c r="M492" s="8" t="s">
        <v>3180</v>
      </c>
      <c r="N492" s="8" t="s">
        <v>74</v>
      </c>
      <c r="O492" s="8" t="s">
        <v>93</v>
      </c>
      <c r="P492" s="6" t="s">
        <v>55</v>
      </c>
      <c r="Q492" s="8" t="s">
        <v>56</v>
      </c>
      <c r="R492" s="10" t="s">
        <v>3181</v>
      </c>
      <c r="S492" s="11" t="s">
        <v>3182</v>
      </c>
      <c r="T492" s="6"/>
      <c r="U492" s="28" t="str">
        <f>HYPERLINK("https://media.infra-m.ru/1876/1876884/cover/1876884.jpg", "Обложка")</f>
        <v>Обложка</v>
      </c>
      <c r="V492" s="28" t="str">
        <f>HYPERLINK("https://znanium.ru/catalog/product/1876884", "Ознакомиться")</f>
        <v>Ознакомиться</v>
      </c>
      <c r="W492" s="8" t="s">
        <v>1056</v>
      </c>
      <c r="X492" s="6"/>
      <c r="Y492" s="6"/>
      <c r="Z492" s="6"/>
      <c r="AA492" s="6" t="s">
        <v>78</v>
      </c>
    </row>
    <row r="493" spans="1:27" s="4" customFormat="1" ht="51.95" customHeight="1">
      <c r="A493" s="5">
        <v>0</v>
      </c>
      <c r="B493" s="6" t="s">
        <v>3183</v>
      </c>
      <c r="C493" s="13">
        <v>610</v>
      </c>
      <c r="D493" s="8" t="s">
        <v>3184</v>
      </c>
      <c r="E493" s="8" t="s">
        <v>3168</v>
      </c>
      <c r="F493" s="8" t="s">
        <v>1052</v>
      </c>
      <c r="G493" s="6" t="s">
        <v>37</v>
      </c>
      <c r="H493" s="6" t="s">
        <v>38</v>
      </c>
      <c r="I493" s="8" t="s">
        <v>185</v>
      </c>
      <c r="J493" s="9">
        <v>1</v>
      </c>
      <c r="K493" s="9">
        <v>134</v>
      </c>
      <c r="L493" s="9">
        <v>2023</v>
      </c>
      <c r="M493" s="8" t="s">
        <v>3185</v>
      </c>
      <c r="N493" s="8" t="s">
        <v>74</v>
      </c>
      <c r="O493" s="8" t="s">
        <v>93</v>
      </c>
      <c r="P493" s="6" t="s">
        <v>55</v>
      </c>
      <c r="Q493" s="8" t="s">
        <v>187</v>
      </c>
      <c r="R493" s="10" t="s">
        <v>188</v>
      </c>
      <c r="S493" s="11" t="s">
        <v>3186</v>
      </c>
      <c r="T493" s="6"/>
      <c r="U493" s="28" t="str">
        <f>HYPERLINK("https://media.infra-m.ru/1846/1846372/cover/1846372.jpg", "Обложка")</f>
        <v>Обложка</v>
      </c>
      <c r="V493" s="28" t="str">
        <f>HYPERLINK("https://znanium.ru/catalog/product/1846372", "Ознакомиться")</f>
        <v>Ознакомиться</v>
      </c>
      <c r="W493" s="8" t="s">
        <v>1056</v>
      </c>
      <c r="X493" s="6"/>
      <c r="Y493" s="6"/>
      <c r="Z493" s="6" t="s">
        <v>192</v>
      </c>
      <c r="AA493" s="6" t="s">
        <v>193</v>
      </c>
    </row>
    <row r="494" spans="1:27" s="4" customFormat="1" ht="51.95" customHeight="1">
      <c r="A494" s="5">
        <v>0</v>
      </c>
      <c r="B494" s="6" t="s">
        <v>3187</v>
      </c>
      <c r="C494" s="13">
        <v>610</v>
      </c>
      <c r="D494" s="8" t="s">
        <v>3188</v>
      </c>
      <c r="E494" s="8" t="s">
        <v>3168</v>
      </c>
      <c r="F494" s="8" t="s">
        <v>1052</v>
      </c>
      <c r="G494" s="6" t="s">
        <v>37</v>
      </c>
      <c r="H494" s="6" t="s">
        <v>38</v>
      </c>
      <c r="I494" s="8" t="s">
        <v>205</v>
      </c>
      <c r="J494" s="9">
        <v>1</v>
      </c>
      <c r="K494" s="9">
        <v>134</v>
      </c>
      <c r="L494" s="9">
        <v>2023</v>
      </c>
      <c r="M494" s="8" t="s">
        <v>3189</v>
      </c>
      <c r="N494" s="8" t="s">
        <v>74</v>
      </c>
      <c r="O494" s="8" t="s">
        <v>93</v>
      </c>
      <c r="P494" s="6" t="s">
        <v>55</v>
      </c>
      <c r="Q494" s="8" t="s">
        <v>3190</v>
      </c>
      <c r="R494" s="10" t="s">
        <v>232</v>
      </c>
      <c r="S494" s="11" t="s">
        <v>3191</v>
      </c>
      <c r="T494" s="6"/>
      <c r="U494" s="28" t="str">
        <f>HYPERLINK("https://media.infra-m.ru/1933/1933142/cover/1933142.jpg", "Обложка")</f>
        <v>Обложка</v>
      </c>
      <c r="V494" s="28" t="str">
        <f>HYPERLINK("https://znanium.ru/catalog/product/1933142", "Ознакомиться")</f>
        <v>Ознакомиться</v>
      </c>
      <c r="W494" s="8" t="s">
        <v>1056</v>
      </c>
      <c r="X494" s="6"/>
      <c r="Y494" s="6"/>
      <c r="Z494" s="6" t="s">
        <v>3192</v>
      </c>
      <c r="AA494" s="6" t="s">
        <v>78</v>
      </c>
    </row>
    <row r="495" spans="1:27" s="4" customFormat="1" ht="51.95" customHeight="1">
      <c r="A495" s="5">
        <v>0</v>
      </c>
      <c r="B495" s="6" t="s">
        <v>3193</v>
      </c>
      <c r="C495" s="13">
        <v>324</v>
      </c>
      <c r="D495" s="8" t="s">
        <v>3194</v>
      </c>
      <c r="E495" s="8" t="s">
        <v>3195</v>
      </c>
      <c r="F495" s="8" t="s">
        <v>2270</v>
      </c>
      <c r="G495" s="6" t="s">
        <v>37</v>
      </c>
      <c r="H495" s="6" t="s">
        <v>317</v>
      </c>
      <c r="I495" s="8" t="s">
        <v>3196</v>
      </c>
      <c r="J495" s="9">
        <v>1</v>
      </c>
      <c r="K495" s="9">
        <v>112</v>
      </c>
      <c r="L495" s="9">
        <v>2023</v>
      </c>
      <c r="M495" s="8" t="s">
        <v>3197</v>
      </c>
      <c r="N495" s="8" t="s">
        <v>74</v>
      </c>
      <c r="O495" s="8" t="s">
        <v>93</v>
      </c>
      <c r="P495" s="6" t="s">
        <v>55</v>
      </c>
      <c r="Q495" s="8" t="s">
        <v>56</v>
      </c>
      <c r="R495" s="10" t="s">
        <v>3198</v>
      </c>
      <c r="S495" s="11"/>
      <c r="T495" s="6"/>
      <c r="U495" s="28" t="str">
        <f>HYPERLINK("https://media.infra-m.ru/1926/1926387/cover/1926387.jpg", "Обложка")</f>
        <v>Обложка</v>
      </c>
      <c r="V495" s="28" t="str">
        <f>HYPERLINK("https://znanium.ru/catalog/product/1926387", "Ознакомиться")</f>
        <v>Ознакомиться</v>
      </c>
      <c r="W495" s="8" t="s">
        <v>2274</v>
      </c>
      <c r="X495" s="6"/>
      <c r="Y495" s="6"/>
      <c r="Z495" s="6"/>
      <c r="AA495" s="6" t="s">
        <v>1217</v>
      </c>
    </row>
    <row r="496" spans="1:27" s="4" customFormat="1" ht="44.1" customHeight="1">
      <c r="A496" s="5">
        <v>0</v>
      </c>
      <c r="B496" s="6" t="s">
        <v>3199</v>
      </c>
      <c r="C496" s="13">
        <v>164</v>
      </c>
      <c r="D496" s="8" t="s">
        <v>3200</v>
      </c>
      <c r="E496" s="8" t="s">
        <v>3168</v>
      </c>
      <c r="F496" s="8"/>
      <c r="G496" s="6" t="s">
        <v>1149</v>
      </c>
      <c r="H496" s="6" t="s">
        <v>317</v>
      </c>
      <c r="I496" s="8" t="s">
        <v>3201</v>
      </c>
      <c r="J496" s="9">
        <v>1</v>
      </c>
      <c r="K496" s="9">
        <v>96</v>
      </c>
      <c r="L496" s="9">
        <v>2023</v>
      </c>
      <c r="M496" s="8" t="s">
        <v>3202</v>
      </c>
      <c r="N496" s="8" t="s">
        <v>74</v>
      </c>
      <c r="O496" s="8" t="s">
        <v>93</v>
      </c>
      <c r="P496" s="6" t="s">
        <v>3203</v>
      </c>
      <c r="Q496" s="8" t="s">
        <v>56</v>
      </c>
      <c r="R496" s="10" t="s">
        <v>3204</v>
      </c>
      <c r="S496" s="11"/>
      <c r="T496" s="6"/>
      <c r="U496" s="12"/>
      <c r="V496" s="12"/>
      <c r="W496" s="8"/>
      <c r="X496" s="6"/>
      <c r="Y496" s="6"/>
      <c r="Z496" s="6"/>
      <c r="AA496" s="6" t="s">
        <v>2111</v>
      </c>
    </row>
    <row r="497" spans="1:27" s="4" customFormat="1" ht="42" customHeight="1">
      <c r="A497" s="5">
        <v>0</v>
      </c>
      <c r="B497" s="6" t="s">
        <v>3205</v>
      </c>
      <c r="C497" s="7">
        <v>1130</v>
      </c>
      <c r="D497" s="8" t="s">
        <v>3206</v>
      </c>
      <c r="E497" s="8" t="s">
        <v>3160</v>
      </c>
      <c r="F497" s="8" t="s">
        <v>3161</v>
      </c>
      <c r="G497" s="6" t="s">
        <v>123</v>
      </c>
      <c r="H497" s="6" t="s">
        <v>618</v>
      </c>
      <c r="I497" s="8" t="s">
        <v>205</v>
      </c>
      <c r="J497" s="14">
        <v>0</v>
      </c>
      <c r="K497" s="9">
        <v>240</v>
      </c>
      <c r="L497" s="9">
        <v>2024</v>
      </c>
      <c r="M497" s="8" t="s">
        <v>3207</v>
      </c>
      <c r="N497" s="8" t="s">
        <v>74</v>
      </c>
      <c r="O497" s="8" t="s">
        <v>93</v>
      </c>
      <c r="P497" s="6" t="s">
        <v>176</v>
      </c>
      <c r="Q497" s="8" t="s">
        <v>207</v>
      </c>
      <c r="R497" s="10" t="s">
        <v>232</v>
      </c>
      <c r="S497" s="11"/>
      <c r="T497" s="6"/>
      <c r="U497" s="28" t="str">
        <f>HYPERLINK("https://media.infra-m.ru/0972/0972715/cover/972715.jpg", "Обложка")</f>
        <v>Обложка</v>
      </c>
      <c r="V497" s="12"/>
      <c r="W497" s="8" t="s">
        <v>3164</v>
      </c>
      <c r="X497" s="6"/>
      <c r="Y497" s="6"/>
      <c r="Z497" s="6" t="s">
        <v>235</v>
      </c>
      <c r="AA497" s="6" t="s">
        <v>1249</v>
      </c>
    </row>
    <row r="498" spans="1:27" s="4" customFormat="1" ht="51.95" customHeight="1">
      <c r="A498" s="5">
        <v>0</v>
      </c>
      <c r="B498" s="6" t="s">
        <v>3208</v>
      </c>
      <c r="C498" s="7">
        <v>1100</v>
      </c>
      <c r="D498" s="8" t="s">
        <v>3209</v>
      </c>
      <c r="E498" s="8" t="s">
        <v>3210</v>
      </c>
      <c r="F498" s="8" t="s">
        <v>3211</v>
      </c>
      <c r="G498" s="6" t="s">
        <v>37</v>
      </c>
      <c r="H498" s="6" t="s">
        <v>38</v>
      </c>
      <c r="I498" s="8" t="s">
        <v>39</v>
      </c>
      <c r="J498" s="9">
        <v>1</v>
      </c>
      <c r="K498" s="9">
        <v>237</v>
      </c>
      <c r="L498" s="9">
        <v>2024</v>
      </c>
      <c r="M498" s="8" t="s">
        <v>3212</v>
      </c>
      <c r="N498" s="8" t="s">
        <v>74</v>
      </c>
      <c r="O498" s="8" t="s">
        <v>75</v>
      </c>
      <c r="P498" s="6" t="s">
        <v>43</v>
      </c>
      <c r="Q498" s="8" t="s">
        <v>44</v>
      </c>
      <c r="R498" s="10" t="s">
        <v>3213</v>
      </c>
      <c r="S498" s="11"/>
      <c r="T498" s="6"/>
      <c r="U498" s="28" t="str">
        <f>HYPERLINK("https://media.infra-m.ru/2084/2084492/cover/2084492.jpg", "Обложка")</f>
        <v>Обложка</v>
      </c>
      <c r="V498" s="28" t="str">
        <f>HYPERLINK("https://znanium.ru/catalog/product/2084492", "Ознакомиться")</f>
        <v>Ознакомиться</v>
      </c>
      <c r="W498" s="8" t="s">
        <v>3214</v>
      </c>
      <c r="X498" s="6"/>
      <c r="Y498" s="6"/>
      <c r="Z498" s="6"/>
      <c r="AA498" s="6" t="s">
        <v>59</v>
      </c>
    </row>
    <row r="499" spans="1:27" s="4" customFormat="1" ht="42" customHeight="1">
      <c r="A499" s="5">
        <v>0</v>
      </c>
      <c r="B499" s="6" t="s">
        <v>3215</v>
      </c>
      <c r="C499" s="13">
        <v>810</v>
      </c>
      <c r="D499" s="8" t="s">
        <v>3216</v>
      </c>
      <c r="E499" s="8" t="s">
        <v>3217</v>
      </c>
      <c r="F499" s="8" t="s">
        <v>3218</v>
      </c>
      <c r="G499" s="6" t="s">
        <v>37</v>
      </c>
      <c r="H499" s="6" t="s">
        <v>38</v>
      </c>
      <c r="I499" s="8" t="s">
        <v>39</v>
      </c>
      <c r="J499" s="9">
        <v>1</v>
      </c>
      <c r="K499" s="9">
        <v>179</v>
      </c>
      <c r="L499" s="9">
        <v>2023</v>
      </c>
      <c r="M499" s="8" t="s">
        <v>3219</v>
      </c>
      <c r="N499" s="8" t="s">
        <v>41</v>
      </c>
      <c r="O499" s="8" t="s">
        <v>65</v>
      </c>
      <c r="P499" s="6" t="s">
        <v>43</v>
      </c>
      <c r="Q499" s="8" t="s">
        <v>44</v>
      </c>
      <c r="R499" s="10" t="s">
        <v>1236</v>
      </c>
      <c r="S499" s="11"/>
      <c r="T499" s="6"/>
      <c r="U499" s="28" t="str">
        <f>HYPERLINK("https://media.infra-m.ru/1971/1971057/cover/1971057.jpg", "Обложка")</f>
        <v>Обложка</v>
      </c>
      <c r="V499" s="28" t="str">
        <f>HYPERLINK("https://znanium.ru/catalog/product/1971057", "Ознакомиться")</f>
        <v>Ознакомиться</v>
      </c>
      <c r="W499" s="8" t="s">
        <v>355</v>
      </c>
      <c r="X499" s="6"/>
      <c r="Y499" s="6"/>
      <c r="Z499" s="6"/>
      <c r="AA499" s="6" t="s">
        <v>141</v>
      </c>
    </row>
    <row r="500" spans="1:27" s="4" customFormat="1" ht="42" customHeight="1">
      <c r="A500" s="5">
        <v>0</v>
      </c>
      <c r="B500" s="6" t="s">
        <v>3220</v>
      </c>
      <c r="C500" s="13">
        <v>654</v>
      </c>
      <c r="D500" s="8" t="s">
        <v>3221</v>
      </c>
      <c r="E500" s="8" t="s">
        <v>3222</v>
      </c>
      <c r="F500" s="8" t="s">
        <v>3223</v>
      </c>
      <c r="G500" s="6" t="s">
        <v>37</v>
      </c>
      <c r="H500" s="6" t="s">
        <v>38</v>
      </c>
      <c r="I500" s="8" t="s">
        <v>39</v>
      </c>
      <c r="J500" s="9">
        <v>1</v>
      </c>
      <c r="K500" s="9">
        <v>142</v>
      </c>
      <c r="L500" s="9">
        <v>2024</v>
      </c>
      <c r="M500" s="8" t="s">
        <v>3224</v>
      </c>
      <c r="N500" s="8" t="s">
        <v>41</v>
      </c>
      <c r="O500" s="8" t="s">
        <v>42</v>
      </c>
      <c r="P500" s="6" t="s">
        <v>43</v>
      </c>
      <c r="Q500" s="8" t="s">
        <v>44</v>
      </c>
      <c r="R500" s="10" t="s">
        <v>2083</v>
      </c>
      <c r="S500" s="11"/>
      <c r="T500" s="6"/>
      <c r="U500" s="28" t="str">
        <f>HYPERLINK("https://media.infra-m.ru/2120/2120773/cover/2120773.jpg", "Обложка")</f>
        <v>Обложка</v>
      </c>
      <c r="V500" s="28" t="str">
        <f>HYPERLINK("https://znanium.ru/catalog/product/988220", "Ознакомиться")</f>
        <v>Ознакомиться</v>
      </c>
      <c r="W500" s="8" t="s">
        <v>118</v>
      </c>
      <c r="X500" s="6"/>
      <c r="Y500" s="6"/>
      <c r="Z500" s="6"/>
      <c r="AA500" s="6" t="s">
        <v>290</v>
      </c>
    </row>
    <row r="501" spans="1:27" s="4" customFormat="1" ht="51.95" customHeight="1">
      <c r="A501" s="5">
        <v>0</v>
      </c>
      <c r="B501" s="6" t="s">
        <v>3225</v>
      </c>
      <c r="C501" s="7">
        <v>1150</v>
      </c>
      <c r="D501" s="8" t="s">
        <v>3226</v>
      </c>
      <c r="E501" s="8" t="s">
        <v>3227</v>
      </c>
      <c r="F501" s="8" t="s">
        <v>406</v>
      </c>
      <c r="G501" s="6" t="s">
        <v>83</v>
      </c>
      <c r="H501" s="6" t="s">
        <v>38</v>
      </c>
      <c r="I501" s="8" t="s">
        <v>39</v>
      </c>
      <c r="J501" s="9">
        <v>1</v>
      </c>
      <c r="K501" s="9">
        <v>248</v>
      </c>
      <c r="L501" s="9">
        <v>2024</v>
      </c>
      <c r="M501" s="8" t="s">
        <v>3228</v>
      </c>
      <c r="N501" s="8" t="s">
        <v>74</v>
      </c>
      <c r="O501" s="8" t="s">
        <v>75</v>
      </c>
      <c r="P501" s="6" t="s">
        <v>43</v>
      </c>
      <c r="Q501" s="8" t="s">
        <v>44</v>
      </c>
      <c r="R501" s="10" t="s">
        <v>3229</v>
      </c>
      <c r="S501" s="11"/>
      <c r="T501" s="6"/>
      <c r="U501" s="28" t="str">
        <f>HYPERLINK("https://media.infra-m.ru/2119/2119968/cover/2119968.jpg", "Обложка")</f>
        <v>Обложка</v>
      </c>
      <c r="V501" s="28" t="str">
        <f>HYPERLINK("https://znanium.ru/catalog/product/2119968", "Ознакомиться")</f>
        <v>Ознакомиться</v>
      </c>
      <c r="W501" s="8" t="s">
        <v>409</v>
      </c>
      <c r="X501" s="6"/>
      <c r="Y501" s="6"/>
      <c r="Z501" s="6"/>
      <c r="AA501" s="6" t="s">
        <v>364</v>
      </c>
    </row>
    <row r="502" spans="1:27" s="4" customFormat="1" ht="44.1" customHeight="1">
      <c r="A502" s="5">
        <v>0</v>
      </c>
      <c r="B502" s="6" t="s">
        <v>3230</v>
      </c>
      <c r="C502" s="7">
        <v>1390</v>
      </c>
      <c r="D502" s="8" t="s">
        <v>3231</v>
      </c>
      <c r="E502" s="8" t="s">
        <v>3232</v>
      </c>
      <c r="F502" s="8" t="s">
        <v>3233</v>
      </c>
      <c r="G502" s="6" t="s">
        <v>123</v>
      </c>
      <c r="H502" s="6" t="s">
        <v>38</v>
      </c>
      <c r="I502" s="8" t="s">
        <v>884</v>
      </c>
      <c r="J502" s="9">
        <v>1</v>
      </c>
      <c r="K502" s="9">
        <v>290</v>
      </c>
      <c r="L502" s="9">
        <v>2023</v>
      </c>
      <c r="M502" s="8" t="s">
        <v>3234</v>
      </c>
      <c r="N502" s="8" t="s">
        <v>74</v>
      </c>
      <c r="O502" s="8" t="s">
        <v>75</v>
      </c>
      <c r="P502" s="6" t="s">
        <v>176</v>
      </c>
      <c r="Q502" s="8" t="s">
        <v>594</v>
      </c>
      <c r="R502" s="10" t="s">
        <v>3235</v>
      </c>
      <c r="S502" s="11"/>
      <c r="T502" s="6"/>
      <c r="U502" s="28" t="str">
        <f>HYPERLINK("https://media.infra-m.ru/1862/1862771/cover/1862771.jpg", "Обложка")</f>
        <v>Обложка</v>
      </c>
      <c r="V502" s="28" t="str">
        <f>HYPERLINK("https://znanium.ru/catalog/product/1862771", "Ознакомиться")</f>
        <v>Ознакомиться</v>
      </c>
      <c r="W502" s="8" t="s">
        <v>3236</v>
      </c>
      <c r="X502" s="6" t="s">
        <v>641</v>
      </c>
      <c r="Y502" s="6"/>
      <c r="Z502" s="6"/>
      <c r="AA502" s="6" t="s">
        <v>111</v>
      </c>
    </row>
    <row r="503" spans="1:27" s="4" customFormat="1" ht="51.95" customHeight="1">
      <c r="A503" s="5">
        <v>0</v>
      </c>
      <c r="B503" s="6" t="s">
        <v>3237</v>
      </c>
      <c r="C503" s="7">
        <v>1489</v>
      </c>
      <c r="D503" s="8" t="s">
        <v>3238</v>
      </c>
      <c r="E503" s="8" t="s">
        <v>3239</v>
      </c>
      <c r="F503" s="8" t="s">
        <v>3240</v>
      </c>
      <c r="G503" s="6" t="s">
        <v>83</v>
      </c>
      <c r="H503" s="6" t="s">
        <v>52</v>
      </c>
      <c r="I503" s="8" t="s">
        <v>205</v>
      </c>
      <c r="J503" s="9">
        <v>1</v>
      </c>
      <c r="K503" s="9">
        <v>223</v>
      </c>
      <c r="L503" s="9">
        <v>2024</v>
      </c>
      <c r="M503" s="8" t="s">
        <v>3241</v>
      </c>
      <c r="N503" s="8" t="s">
        <v>74</v>
      </c>
      <c r="O503" s="8" t="s">
        <v>394</v>
      </c>
      <c r="P503" s="6" t="s">
        <v>55</v>
      </c>
      <c r="Q503" s="8" t="s">
        <v>207</v>
      </c>
      <c r="R503" s="10" t="s">
        <v>3242</v>
      </c>
      <c r="S503" s="11" t="s">
        <v>3243</v>
      </c>
      <c r="T503" s="6"/>
      <c r="U503" s="28" t="str">
        <f>HYPERLINK("https://media.infra-m.ru/2125/2125931/cover/2125931.jpg", "Обложка")</f>
        <v>Обложка</v>
      </c>
      <c r="V503" s="28" t="str">
        <f>HYPERLINK("https://znanium.ru/catalog/product/2125931", "Ознакомиться")</f>
        <v>Ознакомиться</v>
      </c>
      <c r="W503" s="8" t="s">
        <v>3244</v>
      </c>
      <c r="X503" s="6"/>
      <c r="Y503" s="6"/>
      <c r="Z503" s="6" t="s">
        <v>235</v>
      </c>
      <c r="AA503" s="6" t="s">
        <v>141</v>
      </c>
    </row>
    <row r="504" spans="1:27" s="4" customFormat="1" ht="51.95" customHeight="1">
      <c r="A504" s="5">
        <v>0</v>
      </c>
      <c r="B504" s="6" t="s">
        <v>3245</v>
      </c>
      <c r="C504" s="7">
        <v>1367</v>
      </c>
      <c r="D504" s="8" t="s">
        <v>3246</v>
      </c>
      <c r="E504" s="8" t="s">
        <v>3239</v>
      </c>
      <c r="F504" s="8" t="s">
        <v>3240</v>
      </c>
      <c r="G504" s="6" t="s">
        <v>37</v>
      </c>
      <c r="H504" s="6" t="s">
        <v>52</v>
      </c>
      <c r="I504" s="8" t="s">
        <v>155</v>
      </c>
      <c r="J504" s="9">
        <v>1</v>
      </c>
      <c r="K504" s="9">
        <v>224</v>
      </c>
      <c r="L504" s="9">
        <v>2024</v>
      </c>
      <c r="M504" s="8" t="s">
        <v>3247</v>
      </c>
      <c r="N504" s="8" t="s">
        <v>74</v>
      </c>
      <c r="O504" s="8" t="s">
        <v>394</v>
      </c>
      <c r="P504" s="6" t="s">
        <v>55</v>
      </c>
      <c r="Q504" s="8" t="s">
        <v>56</v>
      </c>
      <c r="R504" s="10" t="s">
        <v>3248</v>
      </c>
      <c r="S504" s="11"/>
      <c r="T504" s="6"/>
      <c r="U504" s="28" t="str">
        <f>HYPERLINK("https://media.infra-m.ru/2085/2085054/cover/2085054.jpg", "Обложка")</f>
        <v>Обложка</v>
      </c>
      <c r="V504" s="12"/>
      <c r="W504" s="8" t="s">
        <v>3244</v>
      </c>
      <c r="X504" s="6"/>
      <c r="Y504" s="6"/>
      <c r="Z504" s="6"/>
      <c r="AA504" s="6" t="s">
        <v>290</v>
      </c>
    </row>
    <row r="505" spans="1:27" s="4" customFormat="1" ht="51.95" customHeight="1">
      <c r="A505" s="5">
        <v>0</v>
      </c>
      <c r="B505" s="6" t="s">
        <v>3249</v>
      </c>
      <c r="C505" s="7">
        <v>1040</v>
      </c>
      <c r="D505" s="8" t="s">
        <v>3250</v>
      </c>
      <c r="E505" s="8" t="s">
        <v>3251</v>
      </c>
      <c r="F505" s="8" t="s">
        <v>3252</v>
      </c>
      <c r="G505" s="6" t="s">
        <v>83</v>
      </c>
      <c r="H505" s="6" t="s">
        <v>38</v>
      </c>
      <c r="I505" s="8" t="s">
        <v>884</v>
      </c>
      <c r="J505" s="9">
        <v>1</v>
      </c>
      <c r="K505" s="9">
        <v>224</v>
      </c>
      <c r="L505" s="9">
        <v>2024</v>
      </c>
      <c r="M505" s="8" t="s">
        <v>3253</v>
      </c>
      <c r="N505" s="8" t="s">
        <v>41</v>
      </c>
      <c r="O505" s="8" t="s">
        <v>54</v>
      </c>
      <c r="P505" s="6" t="s">
        <v>55</v>
      </c>
      <c r="Q505" s="8" t="s">
        <v>594</v>
      </c>
      <c r="R505" s="10" t="s">
        <v>3254</v>
      </c>
      <c r="S505" s="11" t="s">
        <v>3255</v>
      </c>
      <c r="T505" s="6"/>
      <c r="U505" s="28" t="str">
        <f>HYPERLINK("https://media.infra-m.ru/2119/2119933/cover/2119933.jpg", "Обложка")</f>
        <v>Обложка</v>
      </c>
      <c r="V505" s="28" t="str">
        <f>HYPERLINK("https://znanium.ru/catalog/product/2119933", "Ознакомиться")</f>
        <v>Ознакомиться</v>
      </c>
      <c r="W505" s="8" t="s">
        <v>3256</v>
      </c>
      <c r="X505" s="6"/>
      <c r="Y505" s="6"/>
      <c r="Z505" s="6"/>
      <c r="AA505" s="6" t="s">
        <v>290</v>
      </c>
    </row>
    <row r="506" spans="1:27" s="4" customFormat="1" ht="51.95" customHeight="1">
      <c r="A506" s="5">
        <v>0</v>
      </c>
      <c r="B506" s="6" t="s">
        <v>3257</v>
      </c>
      <c r="C506" s="7">
        <v>1084</v>
      </c>
      <c r="D506" s="8" t="s">
        <v>3258</v>
      </c>
      <c r="E506" s="8" t="s">
        <v>3259</v>
      </c>
      <c r="F506" s="8" t="s">
        <v>3260</v>
      </c>
      <c r="G506" s="6" t="s">
        <v>83</v>
      </c>
      <c r="H506" s="6" t="s">
        <v>38</v>
      </c>
      <c r="I506" s="8" t="s">
        <v>164</v>
      </c>
      <c r="J506" s="9">
        <v>1</v>
      </c>
      <c r="K506" s="9">
        <v>230</v>
      </c>
      <c r="L506" s="9">
        <v>2024</v>
      </c>
      <c r="M506" s="8" t="s">
        <v>3261</v>
      </c>
      <c r="N506" s="8" t="s">
        <v>41</v>
      </c>
      <c r="O506" s="8" t="s">
        <v>54</v>
      </c>
      <c r="P506" s="6" t="s">
        <v>55</v>
      </c>
      <c r="Q506" s="8" t="s">
        <v>56</v>
      </c>
      <c r="R506" s="10" t="s">
        <v>3262</v>
      </c>
      <c r="S506" s="11" t="s">
        <v>3121</v>
      </c>
      <c r="T506" s="6"/>
      <c r="U506" s="28" t="str">
        <f>HYPERLINK("https://media.infra-m.ru/2094/2094360/cover/2094360.jpg", "Обложка")</f>
        <v>Обложка</v>
      </c>
      <c r="V506" s="28" t="str">
        <f>HYPERLINK("https://znanium.ru/catalog/product/1898107", "Ознакомиться")</f>
        <v>Ознакомиться</v>
      </c>
      <c r="W506" s="8" t="s">
        <v>3256</v>
      </c>
      <c r="X506" s="6"/>
      <c r="Y506" s="6"/>
      <c r="Z506" s="6"/>
      <c r="AA506" s="6" t="s">
        <v>68</v>
      </c>
    </row>
    <row r="507" spans="1:27" s="4" customFormat="1" ht="51.95" customHeight="1">
      <c r="A507" s="5">
        <v>0</v>
      </c>
      <c r="B507" s="6" t="s">
        <v>3263</v>
      </c>
      <c r="C507" s="7">
        <v>1730</v>
      </c>
      <c r="D507" s="8" t="s">
        <v>3264</v>
      </c>
      <c r="E507" s="8" t="s">
        <v>3265</v>
      </c>
      <c r="F507" s="8" t="s">
        <v>3266</v>
      </c>
      <c r="G507" s="6" t="s">
        <v>83</v>
      </c>
      <c r="H507" s="6" t="s">
        <v>38</v>
      </c>
      <c r="I507" s="8" t="s">
        <v>155</v>
      </c>
      <c r="J507" s="9">
        <v>1</v>
      </c>
      <c r="K507" s="9">
        <v>376</v>
      </c>
      <c r="L507" s="9">
        <v>2023</v>
      </c>
      <c r="M507" s="8" t="s">
        <v>3267</v>
      </c>
      <c r="N507" s="8" t="s">
        <v>74</v>
      </c>
      <c r="O507" s="8" t="s">
        <v>109</v>
      </c>
      <c r="P507" s="6" t="s">
        <v>55</v>
      </c>
      <c r="Q507" s="8" t="s">
        <v>56</v>
      </c>
      <c r="R507" s="10" t="s">
        <v>3268</v>
      </c>
      <c r="S507" s="11" t="s">
        <v>3269</v>
      </c>
      <c r="T507" s="6"/>
      <c r="U507" s="28" t="str">
        <f>HYPERLINK("https://media.infra-m.ru/2048/2048138/cover/2048138.jpg", "Обложка")</f>
        <v>Обложка</v>
      </c>
      <c r="V507" s="28" t="str">
        <f>HYPERLINK("https://znanium.ru/catalog/product/2048138", "Ознакомиться")</f>
        <v>Ознакомиться</v>
      </c>
      <c r="W507" s="8" t="s">
        <v>3270</v>
      </c>
      <c r="X507" s="6"/>
      <c r="Y507" s="6"/>
      <c r="Z507" s="6"/>
      <c r="AA507" s="6" t="s">
        <v>141</v>
      </c>
    </row>
    <row r="508" spans="1:27" s="4" customFormat="1" ht="51.95" customHeight="1">
      <c r="A508" s="5">
        <v>0</v>
      </c>
      <c r="B508" s="6" t="s">
        <v>3271</v>
      </c>
      <c r="C508" s="7">
        <v>1300</v>
      </c>
      <c r="D508" s="8" t="s">
        <v>3272</v>
      </c>
      <c r="E508" s="8" t="s">
        <v>3273</v>
      </c>
      <c r="F508" s="8" t="s">
        <v>3266</v>
      </c>
      <c r="G508" s="6" t="s">
        <v>83</v>
      </c>
      <c r="H508" s="6" t="s">
        <v>38</v>
      </c>
      <c r="I508" s="8" t="s">
        <v>164</v>
      </c>
      <c r="J508" s="9">
        <v>1</v>
      </c>
      <c r="K508" s="9">
        <v>288</v>
      </c>
      <c r="L508" s="9">
        <v>2023</v>
      </c>
      <c r="M508" s="8" t="s">
        <v>3274</v>
      </c>
      <c r="N508" s="8" t="s">
        <v>74</v>
      </c>
      <c r="O508" s="8" t="s">
        <v>109</v>
      </c>
      <c r="P508" s="6" t="s">
        <v>55</v>
      </c>
      <c r="Q508" s="8" t="s">
        <v>56</v>
      </c>
      <c r="R508" s="10" t="s">
        <v>1069</v>
      </c>
      <c r="S508" s="11" t="s">
        <v>3275</v>
      </c>
      <c r="T508" s="6" t="s">
        <v>190</v>
      </c>
      <c r="U508" s="28" t="str">
        <f>HYPERLINK("https://media.infra-m.ru/1993/1993655/cover/1993655.jpg", "Обложка")</f>
        <v>Обложка</v>
      </c>
      <c r="V508" s="28" t="str">
        <f>HYPERLINK("https://znanium.ru/catalog/product/1993655", "Ознакомиться")</f>
        <v>Ознакомиться</v>
      </c>
      <c r="W508" s="8" t="s">
        <v>3270</v>
      </c>
      <c r="X508" s="6"/>
      <c r="Y508" s="6"/>
      <c r="Z508" s="6"/>
      <c r="AA508" s="6" t="s">
        <v>169</v>
      </c>
    </row>
    <row r="509" spans="1:27" s="4" customFormat="1" ht="51.95" customHeight="1">
      <c r="A509" s="5">
        <v>0</v>
      </c>
      <c r="B509" s="6" t="s">
        <v>3276</v>
      </c>
      <c r="C509" s="13">
        <v>744.9</v>
      </c>
      <c r="D509" s="8" t="s">
        <v>3277</v>
      </c>
      <c r="E509" s="8" t="s">
        <v>3278</v>
      </c>
      <c r="F509" s="8" t="s">
        <v>3279</v>
      </c>
      <c r="G509" s="6" t="s">
        <v>123</v>
      </c>
      <c r="H509" s="6" t="s">
        <v>38</v>
      </c>
      <c r="I509" s="8" t="s">
        <v>164</v>
      </c>
      <c r="J509" s="9">
        <v>1</v>
      </c>
      <c r="K509" s="9">
        <v>256</v>
      </c>
      <c r="L509" s="9">
        <v>2018</v>
      </c>
      <c r="M509" s="8" t="s">
        <v>3280</v>
      </c>
      <c r="N509" s="8" t="s">
        <v>74</v>
      </c>
      <c r="O509" s="8" t="s">
        <v>109</v>
      </c>
      <c r="P509" s="6" t="s">
        <v>55</v>
      </c>
      <c r="Q509" s="8" t="s">
        <v>56</v>
      </c>
      <c r="R509" s="10" t="s">
        <v>1069</v>
      </c>
      <c r="S509" s="11" t="s">
        <v>3275</v>
      </c>
      <c r="T509" s="6" t="s">
        <v>190</v>
      </c>
      <c r="U509" s="28" t="str">
        <f>HYPERLINK("https://media.infra-m.ru/0908/0908708/cover/908708.jpg", "Обложка")</f>
        <v>Обложка</v>
      </c>
      <c r="V509" s="28" t="str">
        <f>HYPERLINK("https://znanium.ru/catalog/product/1993655", "Ознакомиться")</f>
        <v>Ознакомиться</v>
      </c>
      <c r="W509" s="8" t="s">
        <v>3270</v>
      </c>
      <c r="X509" s="6"/>
      <c r="Y509" s="6"/>
      <c r="Z509" s="6"/>
      <c r="AA509" s="6" t="s">
        <v>381</v>
      </c>
    </row>
    <row r="510" spans="1:27" s="4" customFormat="1" ht="42" customHeight="1">
      <c r="A510" s="5">
        <v>0</v>
      </c>
      <c r="B510" s="6" t="s">
        <v>3281</v>
      </c>
      <c r="C510" s="7">
        <v>1224.9000000000001</v>
      </c>
      <c r="D510" s="8" t="s">
        <v>3282</v>
      </c>
      <c r="E510" s="8" t="s">
        <v>3283</v>
      </c>
      <c r="F510" s="8" t="s">
        <v>3284</v>
      </c>
      <c r="G510" s="6" t="s">
        <v>123</v>
      </c>
      <c r="H510" s="6" t="s">
        <v>618</v>
      </c>
      <c r="I510" s="8" t="s">
        <v>1314</v>
      </c>
      <c r="J510" s="9">
        <v>1</v>
      </c>
      <c r="K510" s="9">
        <v>384</v>
      </c>
      <c r="L510" s="9">
        <v>2019</v>
      </c>
      <c r="M510" s="8" t="s">
        <v>3285</v>
      </c>
      <c r="N510" s="8" t="s">
        <v>41</v>
      </c>
      <c r="O510" s="8" t="s">
        <v>65</v>
      </c>
      <c r="P510" s="6" t="s">
        <v>55</v>
      </c>
      <c r="Q510" s="8" t="s">
        <v>56</v>
      </c>
      <c r="R510" s="10" t="s">
        <v>1965</v>
      </c>
      <c r="S510" s="11"/>
      <c r="T510" s="6"/>
      <c r="U510" s="28" t="str">
        <f>HYPERLINK("https://media.infra-m.ru/1009/1009045/cover/1009045.jpg", "Обложка")</f>
        <v>Обложка</v>
      </c>
      <c r="V510" s="28" t="str">
        <f>HYPERLINK("https://znanium.ru/catalog/product/1009045", "Ознакомиться")</f>
        <v>Ознакомиться</v>
      </c>
      <c r="W510" s="8" t="s">
        <v>1028</v>
      </c>
      <c r="X510" s="6"/>
      <c r="Y510" s="6"/>
      <c r="Z510" s="6"/>
      <c r="AA510" s="6" t="s">
        <v>290</v>
      </c>
    </row>
    <row r="511" spans="1:27" s="4" customFormat="1" ht="51.95" customHeight="1">
      <c r="A511" s="5">
        <v>0</v>
      </c>
      <c r="B511" s="6" t="s">
        <v>3286</v>
      </c>
      <c r="C511" s="7">
        <v>1810</v>
      </c>
      <c r="D511" s="8" t="s">
        <v>3287</v>
      </c>
      <c r="E511" s="8" t="s">
        <v>3288</v>
      </c>
      <c r="F511" s="8" t="s">
        <v>3289</v>
      </c>
      <c r="G511" s="6" t="s">
        <v>83</v>
      </c>
      <c r="H511" s="6" t="s">
        <v>470</v>
      </c>
      <c r="I511" s="8" t="s">
        <v>155</v>
      </c>
      <c r="J511" s="9">
        <v>1</v>
      </c>
      <c r="K511" s="9">
        <v>395</v>
      </c>
      <c r="L511" s="9">
        <v>2023</v>
      </c>
      <c r="M511" s="8" t="s">
        <v>3290</v>
      </c>
      <c r="N511" s="8" t="s">
        <v>74</v>
      </c>
      <c r="O511" s="8" t="s">
        <v>394</v>
      </c>
      <c r="P511" s="6" t="s">
        <v>176</v>
      </c>
      <c r="Q511" s="8" t="s">
        <v>56</v>
      </c>
      <c r="R511" s="10" t="s">
        <v>3291</v>
      </c>
      <c r="S511" s="11" t="s">
        <v>3292</v>
      </c>
      <c r="T511" s="6"/>
      <c r="U511" s="28" t="str">
        <f>HYPERLINK("https://media.infra-m.ru/2057/2057732/cover/2057732.jpg", "Обложка")</f>
        <v>Обложка</v>
      </c>
      <c r="V511" s="28" t="str">
        <f>HYPERLINK("https://znanium.ru/catalog/product/2057732", "Ознакомиться")</f>
        <v>Ознакомиться</v>
      </c>
      <c r="W511" s="8" t="s">
        <v>474</v>
      </c>
      <c r="X511" s="6"/>
      <c r="Y511" s="6"/>
      <c r="Z511" s="6"/>
      <c r="AA511" s="6" t="s">
        <v>59</v>
      </c>
    </row>
    <row r="512" spans="1:27" s="4" customFormat="1" ht="51.95" customHeight="1">
      <c r="A512" s="5">
        <v>0</v>
      </c>
      <c r="B512" s="6" t="s">
        <v>3293</v>
      </c>
      <c r="C512" s="7">
        <v>1820</v>
      </c>
      <c r="D512" s="8" t="s">
        <v>3294</v>
      </c>
      <c r="E512" s="8" t="s">
        <v>3288</v>
      </c>
      <c r="F512" s="8" t="s">
        <v>3289</v>
      </c>
      <c r="G512" s="6" t="s">
        <v>83</v>
      </c>
      <c r="H512" s="6" t="s">
        <v>470</v>
      </c>
      <c r="I512" s="8" t="s">
        <v>205</v>
      </c>
      <c r="J512" s="9">
        <v>1</v>
      </c>
      <c r="K512" s="9">
        <v>395</v>
      </c>
      <c r="L512" s="9">
        <v>2024</v>
      </c>
      <c r="M512" s="8" t="s">
        <v>3295</v>
      </c>
      <c r="N512" s="8" t="s">
        <v>74</v>
      </c>
      <c r="O512" s="8" t="s">
        <v>394</v>
      </c>
      <c r="P512" s="6" t="s">
        <v>176</v>
      </c>
      <c r="Q512" s="8" t="s">
        <v>207</v>
      </c>
      <c r="R512" s="10" t="s">
        <v>3296</v>
      </c>
      <c r="S512" s="11" t="s">
        <v>3297</v>
      </c>
      <c r="T512" s="6"/>
      <c r="U512" s="28" t="str">
        <f>HYPERLINK("https://media.infra-m.ru/2117/2117170/cover/2117170.jpg", "Обложка")</f>
        <v>Обложка</v>
      </c>
      <c r="V512" s="28" t="str">
        <f>HYPERLINK("https://znanium.ru/catalog/product/2117170", "Ознакомиться")</f>
        <v>Ознакомиться</v>
      </c>
      <c r="W512" s="8" t="s">
        <v>474</v>
      </c>
      <c r="X512" s="6"/>
      <c r="Y512" s="6"/>
      <c r="Z512" s="6" t="s">
        <v>235</v>
      </c>
      <c r="AA512" s="6" t="s">
        <v>78</v>
      </c>
    </row>
    <row r="513" spans="1:27" s="4" customFormat="1" ht="51.95" customHeight="1">
      <c r="A513" s="5">
        <v>0</v>
      </c>
      <c r="B513" s="6" t="s">
        <v>3298</v>
      </c>
      <c r="C513" s="7">
        <v>2100</v>
      </c>
      <c r="D513" s="8" t="s">
        <v>3299</v>
      </c>
      <c r="E513" s="8" t="s">
        <v>3300</v>
      </c>
      <c r="F513" s="8" t="s">
        <v>966</v>
      </c>
      <c r="G513" s="6" t="s">
        <v>123</v>
      </c>
      <c r="H513" s="6" t="s">
        <v>52</v>
      </c>
      <c r="I513" s="8" t="s">
        <v>155</v>
      </c>
      <c r="J513" s="9">
        <v>1</v>
      </c>
      <c r="K513" s="9">
        <v>448</v>
      </c>
      <c r="L513" s="9">
        <v>2024</v>
      </c>
      <c r="M513" s="8" t="s">
        <v>3301</v>
      </c>
      <c r="N513" s="8" t="s">
        <v>41</v>
      </c>
      <c r="O513" s="8" t="s">
        <v>54</v>
      </c>
      <c r="P513" s="6" t="s">
        <v>55</v>
      </c>
      <c r="Q513" s="8" t="s">
        <v>56</v>
      </c>
      <c r="R513" s="10" t="s">
        <v>3302</v>
      </c>
      <c r="S513" s="11" t="s">
        <v>3303</v>
      </c>
      <c r="T513" s="6"/>
      <c r="U513" s="28" t="str">
        <f>HYPERLINK("https://media.infra-m.ru/2122/2122504/cover/2122504.jpg", "Обложка")</f>
        <v>Обложка</v>
      </c>
      <c r="V513" s="28" t="str">
        <f>HYPERLINK("https://znanium.ru/catalog/product/2122504", "Ознакомиться")</f>
        <v>Ознакомиться</v>
      </c>
      <c r="W513" s="8" t="s">
        <v>969</v>
      </c>
      <c r="X513" s="6"/>
      <c r="Y513" s="6"/>
      <c r="Z513" s="6"/>
      <c r="AA513" s="6" t="s">
        <v>47</v>
      </c>
    </row>
    <row r="514" spans="1:27" s="4" customFormat="1" ht="51.95" customHeight="1">
      <c r="A514" s="5">
        <v>0</v>
      </c>
      <c r="B514" s="6" t="s">
        <v>3304</v>
      </c>
      <c r="C514" s="7">
        <v>2020</v>
      </c>
      <c r="D514" s="8" t="s">
        <v>3305</v>
      </c>
      <c r="E514" s="8" t="s">
        <v>3300</v>
      </c>
      <c r="F514" s="8" t="s">
        <v>966</v>
      </c>
      <c r="G514" s="6" t="s">
        <v>83</v>
      </c>
      <c r="H514" s="6" t="s">
        <v>52</v>
      </c>
      <c r="I514" s="8" t="s">
        <v>205</v>
      </c>
      <c r="J514" s="9">
        <v>1</v>
      </c>
      <c r="K514" s="9">
        <v>448</v>
      </c>
      <c r="L514" s="9">
        <v>2023</v>
      </c>
      <c r="M514" s="8" t="s">
        <v>3306</v>
      </c>
      <c r="N514" s="8" t="s">
        <v>41</v>
      </c>
      <c r="O514" s="8" t="s">
        <v>54</v>
      </c>
      <c r="P514" s="6" t="s">
        <v>55</v>
      </c>
      <c r="Q514" s="8" t="s">
        <v>207</v>
      </c>
      <c r="R514" s="10" t="s">
        <v>3302</v>
      </c>
      <c r="S514" s="11" t="s">
        <v>3307</v>
      </c>
      <c r="T514" s="6"/>
      <c r="U514" s="28" t="str">
        <f>HYPERLINK("https://media.infra-m.ru/1920/1920355/cover/1920355.jpg", "Обложка")</f>
        <v>Обложка</v>
      </c>
      <c r="V514" s="12"/>
      <c r="W514" s="8" t="s">
        <v>969</v>
      </c>
      <c r="X514" s="6"/>
      <c r="Y514" s="6"/>
      <c r="Z514" s="6" t="s">
        <v>235</v>
      </c>
      <c r="AA514" s="6" t="s">
        <v>111</v>
      </c>
    </row>
    <row r="515" spans="1:27" s="4" customFormat="1" ht="51.95" customHeight="1">
      <c r="A515" s="5">
        <v>0</v>
      </c>
      <c r="B515" s="6" t="s">
        <v>3308</v>
      </c>
      <c r="C515" s="13">
        <v>620</v>
      </c>
      <c r="D515" s="8" t="s">
        <v>3309</v>
      </c>
      <c r="E515" s="8" t="s">
        <v>3310</v>
      </c>
      <c r="F515" s="8" t="s">
        <v>3311</v>
      </c>
      <c r="G515" s="6" t="s">
        <v>37</v>
      </c>
      <c r="H515" s="6" t="s">
        <v>38</v>
      </c>
      <c r="I515" s="8" t="s">
        <v>39</v>
      </c>
      <c r="J515" s="9">
        <v>1</v>
      </c>
      <c r="K515" s="9">
        <v>176</v>
      </c>
      <c r="L515" s="9">
        <v>2020</v>
      </c>
      <c r="M515" s="8" t="s">
        <v>3312</v>
      </c>
      <c r="N515" s="8" t="s">
        <v>74</v>
      </c>
      <c r="O515" s="8" t="s">
        <v>93</v>
      </c>
      <c r="P515" s="6" t="s">
        <v>43</v>
      </c>
      <c r="Q515" s="8" t="s">
        <v>44</v>
      </c>
      <c r="R515" s="10" t="s">
        <v>3313</v>
      </c>
      <c r="S515" s="11"/>
      <c r="T515" s="6"/>
      <c r="U515" s="28" t="str">
        <f>HYPERLINK("https://media.infra-m.ru/1039/1039816/cover/1039816.jpg", "Обложка")</f>
        <v>Обложка</v>
      </c>
      <c r="V515" s="28" t="str">
        <f>HYPERLINK("https://znanium.ru/catalog/product/1039816", "Ознакомиться")</f>
        <v>Ознакомиться</v>
      </c>
      <c r="W515" s="8" t="s">
        <v>969</v>
      </c>
      <c r="X515" s="6"/>
      <c r="Y515" s="6"/>
      <c r="Z515" s="6"/>
      <c r="AA515" s="6" t="s">
        <v>364</v>
      </c>
    </row>
    <row r="516" spans="1:27" s="4" customFormat="1" ht="42" customHeight="1">
      <c r="A516" s="5">
        <v>0</v>
      </c>
      <c r="B516" s="6" t="s">
        <v>3314</v>
      </c>
      <c r="C516" s="13">
        <v>874.9</v>
      </c>
      <c r="D516" s="8" t="s">
        <v>3315</v>
      </c>
      <c r="E516" s="8" t="s">
        <v>3316</v>
      </c>
      <c r="F516" s="8" t="s">
        <v>420</v>
      </c>
      <c r="G516" s="6" t="s">
        <v>123</v>
      </c>
      <c r="H516" s="6" t="s">
        <v>38</v>
      </c>
      <c r="I516" s="8" t="s">
        <v>39</v>
      </c>
      <c r="J516" s="9">
        <v>1</v>
      </c>
      <c r="K516" s="9">
        <v>194</v>
      </c>
      <c r="L516" s="9">
        <v>2023</v>
      </c>
      <c r="M516" s="8" t="s">
        <v>3317</v>
      </c>
      <c r="N516" s="8" t="s">
        <v>41</v>
      </c>
      <c r="O516" s="8" t="s">
        <v>65</v>
      </c>
      <c r="P516" s="6" t="s">
        <v>43</v>
      </c>
      <c r="Q516" s="8" t="s">
        <v>44</v>
      </c>
      <c r="R516" s="10" t="s">
        <v>3318</v>
      </c>
      <c r="S516" s="11"/>
      <c r="T516" s="6"/>
      <c r="U516" s="28" t="str">
        <f>HYPERLINK("https://media.infra-m.ru/2001/2001666/cover/2001666.jpg", "Обложка")</f>
        <v>Обложка</v>
      </c>
      <c r="V516" s="28" t="str">
        <f>HYPERLINK("https://znanium.ru/catalog/product/1048442", "Ознакомиться")</f>
        <v>Ознакомиться</v>
      </c>
      <c r="W516" s="8" t="s">
        <v>423</v>
      </c>
      <c r="X516" s="6"/>
      <c r="Y516" s="6"/>
      <c r="Z516" s="6"/>
      <c r="AA516" s="6" t="s">
        <v>364</v>
      </c>
    </row>
    <row r="517" spans="1:27" s="4" customFormat="1" ht="51.95" customHeight="1">
      <c r="A517" s="5">
        <v>0</v>
      </c>
      <c r="B517" s="6" t="s">
        <v>3319</v>
      </c>
      <c r="C517" s="7">
        <v>1544</v>
      </c>
      <c r="D517" s="8" t="s">
        <v>3320</v>
      </c>
      <c r="E517" s="8" t="s">
        <v>3321</v>
      </c>
      <c r="F517" s="8" t="s">
        <v>2922</v>
      </c>
      <c r="G517" s="6" t="s">
        <v>123</v>
      </c>
      <c r="H517" s="6" t="s">
        <v>38</v>
      </c>
      <c r="I517" s="8" t="s">
        <v>884</v>
      </c>
      <c r="J517" s="9">
        <v>1</v>
      </c>
      <c r="K517" s="9">
        <v>342</v>
      </c>
      <c r="L517" s="9">
        <v>2023</v>
      </c>
      <c r="M517" s="8" t="s">
        <v>3322</v>
      </c>
      <c r="N517" s="8" t="s">
        <v>41</v>
      </c>
      <c r="O517" s="8" t="s">
        <v>54</v>
      </c>
      <c r="P517" s="6" t="s">
        <v>55</v>
      </c>
      <c r="Q517" s="8" t="s">
        <v>594</v>
      </c>
      <c r="R517" s="10" t="s">
        <v>3323</v>
      </c>
      <c r="S517" s="11" t="s">
        <v>3324</v>
      </c>
      <c r="T517" s="6"/>
      <c r="U517" s="28" t="str">
        <f>HYPERLINK("https://media.infra-m.ru/2030/2030884/cover/2030884.jpg", "Обложка")</f>
        <v>Обложка</v>
      </c>
      <c r="V517" s="28" t="str">
        <f>HYPERLINK("https://znanium.ru/catalog/product/1002008", "Ознакомиться")</f>
        <v>Ознакомиться</v>
      </c>
      <c r="W517" s="8" t="s">
        <v>2926</v>
      </c>
      <c r="X517" s="6"/>
      <c r="Y517" s="6"/>
      <c r="Z517" s="6"/>
      <c r="AA517" s="6" t="s">
        <v>193</v>
      </c>
    </row>
    <row r="518" spans="1:27" s="4" customFormat="1" ht="42" customHeight="1">
      <c r="A518" s="5">
        <v>0</v>
      </c>
      <c r="B518" s="6" t="s">
        <v>3325</v>
      </c>
      <c r="C518" s="13">
        <v>530</v>
      </c>
      <c r="D518" s="8" t="s">
        <v>3326</v>
      </c>
      <c r="E518" s="8" t="s">
        <v>3327</v>
      </c>
      <c r="F518" s="8" t="s">
        <v>2800</v>
      </c>
      <c r="G518" s="6" t="s">
        <v>37</v>
      </c>
      <c r="H518" s="6" t="s">
        <v>38</v>
      </c>
      <c r="I518" s="8" t="s">
        <v>39</v>
      </c>
      <c r="J518" s="9">
        <v>1</v>
      </c>
      <c r="K518" s="9">
        <v>108</v>
      </c>
      <c r="L518" s="9">
        <v>2024</v>
      </c>
      <c r="M518" s="8" t="s">
        <v>3328</v>
      </c>
      <c r="N518" s="8" t="s">
        <v>41</v>
      </c>
      <c r="O518" s="8" t="s">
        <v>65</v>
      </c>
      <c r="P518" s="6" t="s">
        <v>43</v>
      </c>
      <c r="Q518" s="8" t="s">
        <v>44</v>
      </c>
      <c r="R518" s="10" t="s">
        <v>3329</v>
      </c>
      <c r="S518" s="11"/>
      <c r="T518" s="6"/>
      <c r="U518" s="28" t="str">
        <f>HYPERLINK("https://media.infra-m.ru/2096/2096828/cover/2096828.jpg", "Обложка")</f>
        <v>Обложка</v>
      </c>
      <c r="V518" s="28" t="str">
        <f>HYPERLINK("https://znanium.ru/catalog/product/2096828", "Ознакомиться")</f>
        <v>Ознакомиться</v>
      </c>
      <c r="W518" s="8" t="s">
        <v>2802</v>
      </c>
      <c r="X518" s="6"/>
      <c r="Y518" s="6"/>
      <c r="Z518" s="6"/>
      <c r="AA518" s="6" t="s">
        <v>650</v>
      </c>
    </row>
    <row r="519" spans="1:27" s="4" customFormat="1" ht="51.95" customHeight="1">
      <c r="A519" s="5">
        <v>0</v>
      </c>
      <c r="B519" s="6" t="s">
        <v>3330</v>
      </c>
      <c r="C519" s="7">
        <v>1150</v>
      </c>
      <c r="D519" s="8" t="s">
        <v>3331</v>
      </c>
      <c r="E519" s="8" t="s">
        <v>3332</v>
      </c>
      <c r="F519" s="8" t="s">
        <v>3333</v>
      </c>
      <c r="G519" s="6" t="s">
        <v>83</v>
      </c>
      <c r="H519" s="6" t="s">
        <v>38</v>
      </c>
      <c r="I519" s="8" t="s">
        <v>164</v>
      </c>
      <c r="J519" s="9">
        <v>1</v>
      </c>
      <c r="K519" s="9">
        <v>273</v>
      </c>
      <c r="L519" s="9">
        <v>2022</v>
      </c>
      <c r="M519" s="8" t="s">
        <v>3334</v>
      </c>
      <c r="N519" s="8" t="s">
        <v>41</v>
      </c>
      <c r="O519" s="8" t="s">
        <v>65</v>
      </c>
      <c r="P519" s="6" t="s">
        <v>55</v>
      </c>
      <c r="Q519" s="8" t="s">
        <v>56</v>
      </c>
      <c r="R519" s="10" t="s">
        <v>3335</v>
      </c>
      <c r="S519" s="11" t="s">
        <v>3336</v>
      </c>
      <c r="T519" s="6"/>
      <c r="U519" s="28" t="str">
        <f>HYPERLINK("https://media.infra-m.ru/1873/1873274/cover/1873274.jpg", "Обложка")</f>
        <v>Обложка</v>
      </c>
      <c r="V519" s="28" t="str">
        <f>HYPERLINK("https://znanium.ru/catalog/product/1873274", "Ознакомиться")</f>
        <v>Ознакомиться</v>
      </c>
      <c r="W519" s="8" t="s">
        <v>1553</v>
      </c>
      <c r="X519" s="6"/>
      <c r="Y519" s="6"/>
      <c r="Z519" s="6"/>
      <c r="AA519" s="6" t="s">
        <v>312</v>
      </c>
    </row>
    <row r="520" spans="1:27" s="4" customFormat="1" ht="51.95" customHeight="1">
      <c r="A520" s="5">
        <v>0</v>
      </c>
      <c r="B520" s="6" t="s">
        <v>3337</v>
      </c>
      <c r="C520" s="7">
        <v>1700</v>
      </c>
      <c r="D520" s="8" t="s">
        <v>3338</v>
      </c>
      <c r="E520" s="8" t="s">
        <v>3339</v>
      </c>
      <c r="F520" s="8" t="s">
        <v>3340</v>
      </c>
      <c r="G520" s="6" t="s">
        <v>83</v>
      </c>
      <c r="H520" s="6" t="s">
        <v>38</v>
      </c>
      <c r="I520" s="8" t="s">
        <v>155</v>
      </c>
      <c r="J520" s="9">
        <v>1</v>
      </c>
      <c r="K520" s="9">
        <v>362</v>
      </c>
      <c r="L520" s="9">
        <v>2024</v>
      </c>
      <c r="M520" s="8" t="s">
        <v>3341</v>
      </c>
      <c r="N520" s="8" t="s">
        <v>41</v>
      </c>
      <c r="O520" s="8" t="s">
        <v>65</v>
      </c>
      <c r="P520" s="6" t="s">
        <v>176</v>
      </c>
      <c r="Q520" s="8" t="s">
        <v>56</v>
      </c>
      <c r="R520" s="10" t="s">
        <v>3342</v>
      </c>
      <c r="S520" s="11" t="s">
        <v>3343</v>
      </c>
      <c r="T520" s="6"/>
      <c r="U520" s="28" t="str">
        <f>HYPERLINK("https://media.infra-m.ru/2139/2139227/cover/2139227.jpg", "Обложка")</f>
        <v>Обложка</v>
      </c>
      <c r="V520" s="28" t="str">
        <f>HYPERLINK("https://znanium.ru/catalog/product/2139227", "Ознакомиться")</f>
        <v>Ознакомиться</v>
      </c>
      <c r="W520" s="8" t="s">
        <v>1771</v>
      </c>
      <c r="X520" s="6"/>
      <c r="Y520" s="6"/>
      <c r="Z520" s="6"/>
      <c r="AA520" s="6" t="s">
        <v>78</v>
      </c>
    </row>
    <row r="521" spans="1:27" s="4" customFormat="1" ht="42" customHeight="1">
      <c r="A521" s="5">
        <v>0</v>
      </c>
      <c r="B521" s="6" t="s">
        <v>3344</v>
      </c>
      <c r="C521" s="13">
        <v>914</v>
      </c>
      <c r="D521" s="8" t="s">
        <v>3345</v>
      </c>
      <c r="E521" s="8" t="s">
        <v>3346</v>
      </c>
      <c r="F521" s="8" t="s">
        <v>3347</v>
      </c>
      <c r="G521" s="6" t="s">
        <v>26</v>
      </c>
      <c r="H521" s="6" t="s">
        <v>618</v>
      </c>
      <c r="I521" s="8"/>
      <c r="J521" s="9">
        <v>1</v>
      </c>
      <c r="K521" s="9">
        <v>192</v>
      </c>
      <c r="L521" s="9">
        <v>2024</v>
      </c>
      <c r="M521" s="8" t="s">
        <v>3348</v>
      </c>
      <c r="N521" s="8" t="s">
        <v>41</v>
      </c>
      <c r="O521" s="8" t="s">
        <v>65</v>
      </c>
      <c r="P521" s="6" t="s">
        <v>176</v>
      </c>
      <c r="Q521" s="8" t="s">
        <v>56</v>
      </c>
      <c r="R521" s="10" t="s">
        <v>3349</v>
      </c>
      <c r="S521" s="11"/>
      <c r="T521" s="6"/>
      <c r="U521" s="28" t="str">
        <f>HYPERLINK("https://media.infra-m.ru/2155/2155582/cover/2155582.jpg", "Обложка")</f>
        <v>Обложка</v>
      </c>
      <c r="V521" s="28" t="str">
        <f>HYPERLINK("https://znanium.ru/catalog/product/938063", "Ознакомиться")</f>
        <v>Ознакомиться</v>
      </c>
      <c r="W521" s="8" t="s">
        <v>597</v>
      </c>
      <c r="X521" s="6"/>
      <c r="Y521" s="6"/>
      <c r="Z521" s="6"/>
      <c r="AA521" s="6" t="s">
        <v>364</v>
      </c>
    </row>
    <row r="522" spans="1:27" s="4" customFormat="1" ht="51.95" customHeight="1">
      <c r="A522" s="5">
        <v>0</v>
      </c>
      <c r="B522" s="6" t="s">
        <v>3350</v>
      </c>
      <c r="C522" s="13">
        <v>440</v>
      </c>
      <c r="D522" s="8" t="s">
        <v>3351</v>
      </c>
      <c r="E522" s="8" t="s">
        <v>3352</v>
      </c>
      <c r="F522" s="8" t="s">
        <v>3353</v>
      </c>
      <c r="G522" s="6" t="s">
        <v>37</v>
      </c>
      <c r="H522" s="6" t="s">
        <v>38</v>
      </c>
      <c r="I522" s="8" t="s">
        <v>164</v>
      </c>
      <c r="J522" s="9">
        <v>1</v>
      </c>
      <c r="K522" s="9">
        <v>120</v>
      </c>
      <c r="L522" s="9">
        <v>2020</v>
      </c>
      <c r="M522" s="8" t="s">
        <v>3354</v>
      </c>
      <c r="N522" s="8" t="s">
        <v>41</v>
      </c>
      <c r="O522" s="8" t="s">
        <v>65</v>
      </c>
      <c r="P522" s="6" t="s">
        <v>55</v>
      </c>
      <c r="Q522" s="8" t="s">
        <v>56</v>
      </c>
      <c r="R522" s="10" t="s">
        <v>3355</v>
      </c>
      <c r="S522" s="11" t="s">
        <v>3356</v>
      </c>
      <c r="T522" s="6" t="s">
        <v>190</v>
      </c>
      <c r="U522" s="28" t="str">
        <f>HYPERLINK("https://media.infra-m.ru/1056/1056222/cover/1056222.jpg", "Обложка")</f>
        <v>Обложка</v>
      </c>
      <c r="V522" s="28" t="str">
        <f>HYPERLINK("https://znanium.ru/catalog/product/1056222", "Ознакомиться")</f>
        <v>Ознакомиться</v>
      </c>
      <c r="W522" s="8" t="s">
        <v>355</v>
      </c>
      <c r="X522" s="6"/>
      <c r="Y522" s="6"/>
      <c r="Z522" s="6"/>
      <c r="AA522" s="6" t="s">
        <v>68</v>
      </c>
    </row>
    <row r="523" spans="1:27" s="4" customFormat="1" ht="44.1" customHeight="1">
      <c r="A523" s="5">
        <v>0</v>
      </c>
      <c r="B523" s="6" t="s">
        <v>3357</v>
      </c>
      <c r="C523" s="7">
        <v>1250</v>
      </c>
      <c r="D523" s="8" t="s">
        <v>3358</v>
      </c>
      <c r="E523" s="8" t="s">
        <v>3359</v>
      </c>
      <c r="F523" s="8" t="s">
        <v>3360</v>
      </c>
      <c r="G523" s="6" t="s">
        <v>123</v>
      </c>
      <c r="H523" s="6" t="s">
        <v>38</v>
      </c>
      <c r="I523" s="8" t="s">
        <v>137</v>
      </c>
      <c r="J523" s="9">
        <v>1</v>
      </c>
      <c r="K523" s="9">
        <v>266</v>
      </c>
      <c r="L523" s="9">
        <v>2023</v>
      </c>
      <c r="M523" s="8" t="s">
        <v>3361</v>
      </c>
      <c r="N523" s="8" t="s">
        <v>41</v>
      </c>
      <c r="O523" s="8" t="s">
        <v>54</v>
      </c>
      <c r="P523" s="6" t="s">
        <v>43</v>
      </c>
      <c r="Q523" s="8" t="s">
        <v>44</v>
      </c>
      <c r="R523" s="10" t="s">
        <v>3362</v>
      </c>
      <c r="S523" s="11"/>
      <c r="T523" s="6"/>
      <c r="U523" s="28" t="str">
        <f>HYPERLINK("https://media.infra-m.ru/1895/1895951/cover/1895951.jpg", "Обложка")</f>
        <v>Обложка</v>
      </c>
      <c r="V523" s="28" t="str">
        <f>HYPERLINK("https://znanium.ru/catalog/product/1895951", "Ознакомиться")</f>
        <v>Ознакомиться</v>
      </c>
      <c r="W523" s="8" t="s">
        <v>140</v>
      </c>
      <c r="X523" s="6"/>
      <c r="Y523" s="6"/>
      <c r="Z523" s="6"/>
      <c r="AA523" s="6" t="s">
        <v>111</v>
      </c>
    </row>
    <row r="524" spans="1:27" s="4" customFormat="1" ht="51.95" customHeight="1">
      <c r="A524" s="5">
        <v>0</v>
      </c>
      <c r="B524" s="6" t="s">
        <v>3363</v>
      </c>
      <c r="C524" s="7">
        <v>1104</v>
      </c>
      <c r="D524" s="8" t="s">
        <v>3364</v>
      </c>
      <c r="E524" s="8" t="s">
        <v>3365</v>
      </c>
      <c r="F524" s="8" t="s">
        <v>3366</v>
      </c>
      <c r="G524" s="6" t="s">
        <v>83</v>
      </c>
      <c r="H524" s="6" t="s">
        <v>38</v>
      </c>
      <c r="I524" s="8" t="s">
        <v>164</v>
      </c>
      <c r="J524" s="9">
        <v>1</v>
      </c>
      <c r="K524" s="9">
        <v>238</v>
      </c>
      <c r="L524" s="9">
        <v>2024</v>
      </c>
      <c r="M524" s="8" t="s">
        <v>3367</v>
      </c>
      <c r="N524" s="8" t="s">
        <v>41</v>
      </c>
      <c r="O524" s="8" t="s">
        <v>65</v>
      </c>
      <c r="P524" s="6" t="s">
        <v>55</v>
      </c>
      <c r="Q524" s="8" t="s">
        <v>56</v>
      </c>
      <c r="R524" s="10" t="s">
        <v>3368</v>
      </c>
      <c r="S524" s="11" t="s">
        <v>3369</v>
      </c>
      <c r="T524" s="6"/>
      <c r="U524" s="28" t="str">
        <f>HYPERLINK("https://media.infra-m.ru/2056/2056634/cover/2056634.jpg", "Обложка")</f>
        <v>Обложка</v>
      </c>
      <c r="V524" s="28" t="str">
        <f>HYPERLINK("https://znanium.ru/catalog/product/1832363", "Ознакомиться")</f>
        <v>Ознакомиться</v>
      </c>
      <c r="W524" s="8" t="s">
        <v>363</v>
      </c>
      <c r="X524" s="6"/>
      <c r="Y524" s="6"/>
      <c r="Z524" s="6"/>
      <c r="AA524" s="6" t="s">
        <v>2895</v>
      </c>
    </row>
    <row r="525" spans="1:27" s="4" customFormat="1" ht="51.95" customHeight="1">
      <c r="A525" s="5">
        <v>0</v>
      </c>
      <c r="B525" s="6" t="s">
        <v>3370</v>
      </c>
      <c r="C525" s="13">
        <v>744</v>
      </c>
      <c r="D525" s="8" t="s">
        <v>3371</v>
      </c>
      <c r="E525" s="8" t="s">
        <v>3372</v>
      </c>
      <c r="F525" s="8" t="s">
        <v>3373</v>
      </c>
      <c r="G525" s="6" t="s">
        <v>37</v>
      </c>
      <c r="H525" s="6" t="s">
        <v>470</v>
      </c>
      <c r="I525" s="8" t="s">
        <v>1040</v>
      </c>
      <c r="J525" s="9">
        <v>1</v>
      </c>
      <c r="K525" s="9">
        <v>160</v>
      </c>
      <c r="L525" s="9">
        <v>2024</v>
      </c>
      <c r="M525" s="8" t="s">
        <v>3374</v>
      </c>
      <c r="N525" s="8" t="s">
        <v>74</v>
      </c>
      <c r="O525" s="8" t="s">
        <v>109</v>
      </c>
      <c r="P525" s="6" t="s">
        <v>43</v>
      </c>
      <c r="Q525" s="8" t="s">
        <v>44</v>
      </c>
      <c r="R525" s="10" t="s">
        <v>3375</v>
      </c>
      <c r="S525" s="11"/>
      <c r="T525" s="6"/>
      <c r="U525" s="28" t="str">
        <f>HYPERLINK("https://media.infra-m.ru/2118/2118634/cover/2118634.jpg", "Обложка")</f>
        <v>Обложка</v>
      </c>
      <c r="V525" s="28" t="str">
        <f>HYPERLINK("https://znanium.ru/catalog/product/2116872", "Ознакомиться")</f>
        <v>Ознакомиться</v>
      </c>
      <c r="W525" s="8" t="s">
        <v>441</v>
      </c>
      <c r="X525" s="6"/>
      <c r="Y525" s="6"/>
      <c r="Z525" s="6"/>
      <c r="AA525" s="6" t="s">
        <v>650</v>
      </c>
    </row>
    <row r="526" spans="1:27" s="4" customFormat="1" ht="51.95" customHeight="1">
      <c r="A526" s="5">
        <v>0</v>
      </c>
      <c r="B526" s="6" t="s">
        <v>3376</v>
      </c>
      <c r="C526" s="13">
        <v>714</v>
      </c>
      <c r="D526" s="8" t="s">
        <v>3377</v>
      </c>
      <c r="E526" s="8" t="s">
        <v>3378</v>
      </c>
      <c r="F526" s="8" t="s">
        <v>3379</v>
      </c>
      <c r="G526" s="6" t="s">
        <v>37</v>
      </c>
      <c r="H526" s="6" t="s">
        <v>38</v>
      </c>
      <c r="I526" s="8" t="s">
        <v>39</v>
      </c>
      <c r="J526" s="9">
        <v>1</v>
      </c>
      <c r="K526" s="9">
        <v>150</v>
      </c>
      <c r="L526" s="9">
        <v>2024</v>
      </c>
      <c r="M526" s="8" t="s">
        <v>3380</v>
      </c>
      <c r="N526" s="8" t="s">
        <v>74</v>
      </c>
      <c r="O526" s="8" t="s">
        <v>93</v>
      </c>
      <c r="P526" s="6" t="s">
        <v>43</v>
      </c>
      <c r="Q526" s="8" t="s">
        <v>44</v>
      </c>
      <c r="R526" s="10" t="s">
        <v>3381</v>
      </c>
      <c r="S526" s="11"/>
      <c r="T526" s="6"/>
      <c r="U526" s="28" t="str">
        <f>HYPERLINK("https://media.infra-m.ru/2151/2151396/cover/2151396.jpg", "Обложка")</f>
        <v>Обложка</v>
      </c>
      <c r="V526" s="28" t="str">
        <f>HYPERLINK("https://znanium.ru/catalog/product/1898111", "Ознакомиться")</f>
        <v>Ознакомиться</v>
      </c>
      <c r="W526" s="8" t="s">
        <v>3382</v>
      </c>
      <c r="X526" s="6"/>
      <c r="Y526" s="6"/>
      <c r="Z526" s="6"/>
      <c r="AA526" s="6" t="s">
        <v>68</v>
      </c>
    </row>
    <row r="527" spans="1:27" s="4" customFormat="1" ht="51.95" customHeight="1">
      <c r="A527" s="5">
        <v>0</v>
      </c>
      <c r="B527" s="6" t="s">
        <v>3383</v>
      </c>
      <c r="C527" s="7">
        <v>1440</v>
      </c>
      <c r="D527" s="8" t="s">
        <v>3384</v>
      </c>
      <c r="E527" s="8" t="s">
        <v>3385</v>
      </c>
      <c r="F527" s="8" t="s">
        <v>3386</v>
      </c>
      <c r="G527" s="6" t="s">
        <v>37</v>
      </c>
      <c r="H527" s="6" t="s">
        <v>38</v>
      </c>
      <c r="I527" s="8" t="s">
        <v>39</v>
      </c>
      <c r="J527" s="9">
        <v>1</v>
      </c>
      <c r="K527" s="9">
        <v>312</v>
      </c>
      <c r="L527" s="9">
        <v>2023</v>
      </c>
      <c r="M527" s="8" t="s">
        <v>3387</v>
      </c>
      <c r="N527" s="8" t="s">
        <v>74</v>
      </c>
      <c r="O527" s="8" t="s">
        <v>93</v>
      </c>
      <c r="P527" s="6" t="s">
        <v>43</v>
      </c>
      <c r="Q527" s="8" t="s">
        <v>44</v>
      </c>
      <c r="R527" s="10" t="s">
        <v>3388</v>
      </c>
      <c r="S527" s="11"/>
      <c r="T527" s="6"/>
      <c r="U527" s="28" t="str">
        <f>HYPERLINK("https://media.infra-m.ru/2019/2019753/cover/2019753.jpg", "Обложка")</f>
        <v>Обложка</v>
      </c>
      <c r="V527" s="28" t="str">
        <f>HYPERLINK("https://znanium.ru/catalog/product/2019753", "Ознакомиться")</f>
        <v>Ознакомиться</v>
      </c>
      <c r="W527" s="8" t="s">
        <v>355</v>
      </c>
      <c r="X527" s="6"/>
      <c r="Y527" s="6"/>
      <c r="Z527" s="6"/>
      <c r="AA527" s="6" t="s">
        <v>1217</v>
      </c>
    </row>
    <row r="528" spans="1:27" s="4" customFormat="1" ht="42" customHeight="1">
      <c r="A528" s="5">
        <v>0</v>
      </c>
      <c r="B528" s="6" t="s">
        <v>3389</v>
      </c>
      <c r="C528" s="13">
        <v>720</v>
      </c>
      <c r="D528" s="8" t="s">
        <v>3390</v>
      </c>
      <c r="E528" s="8" t="s">
        <v>3391</v>
      </c>
      <c r="F528" s="8" t="s">
        <v>3392</v>
      </c>
      <c r="G528" s="6" t="s">
        <v>37</v>
      </c>
      <c r="H528" s="6" t="s">
        <v>38</v>
      </c>
      <c r="I528" s="8" t="s">
        <v>39</v>
      </c>
      <c r="J528" s="9">
        <v>1</v>
      </c>
      <c r="K528" s="9">
        <v>186</v>
      </c>
      <c r="L528" s="9">
        <v>2021</v>
      </c>
      <c r="M528" s="8" t="s">
        <v>3393</v>
      </c>
      <c r="N528" s="8" t="s">
        <v>74</v>
      </c>
      <c r="O528" s="8" t="s">
        <v>93</v>
      </c>
      <c r="P528" s="6" t="s">
        <v>43</v>
      </c>
      <c r="Q528" s="8" t="s">
        <v>44</v>
      </c>
      <c r="R528" s="10" t="s">
        <v>225</v>
      </c>
      <c r="S528" s="11"/>
      <c r="T528" s="6"/>
      <c r="U528" s="28" t="str">
        <f>HYPERLINK("https://media.infra-m.ru/1074/1074129/cover/1074129.jpg", "Обложка")</f>
        <v>Обложка</v>
      </c>
      <c r="V528" s="28" t="str">
        <f>HYPERLINK("https://znanium.ru/catalog/product/1074129", "Ознакомиться")</f>
        <v>Ознакомиться</v>
      </c>
      <c r="W528" s="8" t="s">
        <v>3394</v>
      </c>
      <c r="X528" s="6"/>
      <c r="Y528" s="6"/>
      <c r="Z528" s="6"/>
      <c r="AA528" s="6" t="s">
        <v>193</v>
      </c>
    </row>
    <row r="529" spans="1:27" s="4" customFormat="1" ht="44.1" customHeight="1">
      <c r="A529" s="5">
        <v>0</v>
      </c>
      <c r="B529" s="6" t="s">
        <v>3395</v>
      </c>
      <c r="C529" s="13">
        <v>820</v>
      </c>
      <c r="D529" s="8" t="s">
        <v>3396</v>
      </c>
      <c r="E529" s="8" t="s">
        <v>3397</v>
      </c>
      <c r="F529" s="8" t="s">
        <v>3398</v>
      </c>
      <c r="G529" s="6" t="s">
        <v>37</v>
      </c>
      <c r="H529" s="6" t="s">
        <v>38</v>
      </c>
      <c r="I529" s="8" t="s">
        <v>39</v>
      </c>
      <c r="J529" s="9">
        <v>1</v>
      </c>
      <c r="K529" s="9">
        <v>182</v>
      </c>
      <c r="L529" s="9">
        <v>2022</v>
      </c>
      <c r="M529" s="8" t="s">
        <v>3399</v>
      </c>
      <c r="N529" s="8" t="s">
        <v>74</v>
      </c>
      <c r="O529" s="8" t="s">
        <v>75</v>
      </c>
      <c r="P529" s="6" t="s">
        <v>43</v>
      </c>
      <c r="Q529" s="8" t="s">
        <v>44</v>
      </c>
      <c r="R529" s="10" t="s">
        <v>3400</v>
      </c>
      <c r="S529" s="11"/>
      <c r="T529" s="6"/>
      <c r="U529" s="28" t="str">
        <f>HYPERLINK("https://media.infra-m.ru/1858/1858259/cover/1858259.jpg", "Обложка")</f>
        <v>Обложка</v>
      </c>
      <c r="V529" s="28" t="str">
        <f>HYPERLINK("https://znanium.ru/catalog/product/1858259", "Ознакомиться")</f>
        <v>Ознакомиться</v>
      </c>
      <c r="W529" s="8" t="s">
        <v>3401</v>
      </c>
      <c r="X529" s="6"/>
      <c r="Y529" s="6"/>
      <c r="Z529" s="6"/>
      <c r="AA529" s="6" t="s">
        <v>103</v>
      </c>
    </row>
    <row r="530" spans="1:27" s="4" customFormat="1" ht="51.95" customHeight="1">
      <c r="A530" s="5">
        <v>0</v>
      </c>
      <c r="B530" s="6" t="s">
        <v>3402</v>
      </c>
      <c r="C530" s="7">
        <v>1584.9</v>
      </c>
      <c r="D530" s="8" t="s">
        <v>3403</v>
      </c>
      <c r="E530" s="8" t="s">
        <v>3404</v>
      </c>
      <c r="F530" s="8" t="s">
        <v>3405</v>
      </c>
      <c r="G530" s="6" t="s">
        <v>123</v>
      </c>
      <c r="H530" s="6" t="s">
        <v>470</v>
      </c>
      <c r="I530" s="8"/>
      <c r="J530" s="9">
        <v>1</v>
      </c>
      <c r="K530" s="9">
        <v>416</v>
      </c>
      <c r="L530" s="9">
        <v>2022</v>
      </c>
      <c r="M530" s="8" t="s">
        <v>3406</v>
      </c>
      <c r="N530" s="8" t="s">
        <v>74</v>
      </c>
      <c r="O530" s="8" t="s">
        <v>109</v>
      </c>
      <c r="P530" s="6" t="s">
        <v>55</v>
      </c>
      <c r="Q530" s="8" t="s">
        <v>56</v>
      </c>
      <c r="R530" s="10" t="s">
        <v>667</v>
      </c>
      <c r="S530" s="11" t="s">
        <v>3407</v>
      </c>
      <c r="T530" s="6"/>
      <c r="U530" s="28" t="str">
        <f>HYPERLINK("https://media.infra-m.ru/1856/1856988/cover/1856988.jpg", "Обложка")</f>
        <v>Обложка</v>
      </c>
      <c r="V530" s="28" t="str">
        <f>HYPERLINK("https://znanium.ru/catalog/product/1408095", "Ознакомиться")</f>
        <v>Ознакомиться</v>
      </c>
      <c r="W530" s="8" t="s">
        <v>371</v>
      </c>
      <c r="X530" s="6"/>
      <c r="Y530" s="6"/>
      <c r="Z530" s="6"/>
      <c r="AA530" s="6" t="s">
        <v>59</v>
      </c>
    </row>
    <row r="531" spans="1:27" s="4" customFormat="1" ht="42" customHeight="1">
      <c r="A531" s="5">
        <v>0</v>
      </c>
      <c r="B531" s="6" t="s">
        <v>3408</v>
      </c>
      <c r="C531" s="13">
        <v>444</v>
      </c>
      <c r="D531" s="8" t="s">
        <v>3409</v>
      </c>
      <c r="E531" s="8" t="s">
        <v>3410</v>
      </c>
      <c r="F531" s="8" t="s">
        <v>3411</v>
      </c>
      <c r="G531" s="6" t="s">
        <v>37</v>
      </c>
      <c r="H531" s="6" t="s">
        <v>52</v>
      </c>
      <c r="I531" s="8"/>
      <c r="J531" s="9">
        <v>1</v>
      </c>
      <c r="K531" s="9">
        <v>88</v>
      </c>
      <c r="L531" s="9">
        <v>2024</v>
      </c>
      <c r="M531" s="8" t="s">
        <v>3412</v>
      </c>
      <c r="N531" s="8" t="s">
        <v>74</v>
      </c>
      <c r="O531" s="8" t="s">
        <v>109</v>
      </c>
      <c r="P531" s="6" t="s">
        <v>55</v>
      </c>
      <c r="Q531" s="8" t="s">
        <v>56</v>
      </c>
      <c r="R531" s="10" t="s">
        <v>3413</v>
      </c>
      <c r="S531" s="11"/>
      <c r="T531" s="6"/>
      <c r="U531" s="28" t="str">
        <f>HYPERLINK("https://media.infra-m.ru/2048/2048907/cover/2048907.jpg", "Обложка")</f>
        <v>Обложка</v>
      </c>
      <c r="V531" s="12"/>
      <c r="W531" s="8" t="s">
        <v>2474</v>
      </c>
      <c r="X531" s="6"/>
      <c r="Y531" s="6"/>
      <c r="Z531" s="6"/>
      <c r="AA531" s="6" t="s">
        <v>47</v>
      </c>
    </row>
    <row r="532" spans="1:27" s="4" customFormat="1" ht="51.95" customHeight="1">
      <c r="A532" s="5">
        <v>0</v>
      </c>
      <c r="B532" s="6" t="s">
        <v>3414</v>
      </c>
      <c r="C532" s="7">
        <v>1090</v>
      </c>
      <c r="D532" s="8" t="s">
        <v>3415</v>
      </c>
      <c r="E532" s="8" t="s">
        <v>3416</v>
      </c>
      <c r="F532" s="8" t="s">
        <v>1142</v>
      </c>
      <c r="G532" s="6" t="s">
        <v>83</v>
      </c>
      <c r="H532" s="6" t="s">
        <v>38</v>
      </c>
      <c r="I532" s="8" t="s">
        <v>884</v>
      </c>
      <c r="J532" s="9">
        <v>1</v>
      </c>
      <c r="K532" s="9">
        <v>242</v>
      </c>
      <c r="L532" s="9">
        <v>2023</v>
      </c>
      <c r="M532" s="8" t="s">
        <v>3417</v>
      </c>
      <c r="N532" s="8" t="s">
        <v>74</v>
      </c>
      <c r="O532" s="8" t="s">
        <v>1559</v>
      </c>
      <c r="P532" s="6" t="s">
        <v>55</v>
      </c>
      <c r="Q532" s="8" t="s">
        <v>594</v>
      </c>
      <c r="R532" s="10" t="s">
        <v>3418</v>
      </c>
      <c r="S532" s="11" t="s">
        <v>3419</v>
      </c>
      <c r="T532" s="6"/>
      <c r="U532" s="28" t="str">
        <f>HYPERLINK("https://media.infra-m.ru/1960/1960114/cover/1960114.jpg", "Обложка")</f>
        <v>Обложка</v>
      </c>
      <c r="V532" s="28" t="str">
        <f>HYPERLINK("https://znanium.ru/catalog/product/1960114", "Ознакомиться")</f>
        <v>Ознакомиться</v>
      </c>
      <c r="W532" s="8" t="s">
        <v>1144</v>
      </c>
      <c r="X532" s="6"/>
      <c r="Y532" s="6"/>
      <c r="Z532" s="6"/>
      <c r="AA532" s="6" t="s">
        <v>193</v>
      </c>
    </row>
    <row r="533" spans="1:27" s="4" customFormat="1" ht="51.95" customHeight="1">
      <c r="A533" s="5">
        <v>0</v>
      </c>
      <c r="B533" s="6" t="s">
        <v>3420</v>
      </c>
      <c r="C533" s="7">
        <v>1244</v>
      </c>
      <c r="D533" s="8" t="s">
        <v>3421</v>
      </c>
      <c r="E533" s="8" t="s">
        <v>3422</v>
      </c>
      <c r="F533" s="8" t="s">
        <v>2769</v>
      </c>
      <c r="G533" s="6" t="s">
        <v>123</v>
      </c>
      <c r="H533" s="6" t="s">
        <v>38</v>
      </c>
      <c r="I533" s="8" t="s">
        <v>884</v>
      </c>
      <c r="J533" s="9">
        <v>1</v>
      </c>
      <c r="K533" s="9">
        <v>271</v>
      </c>
      <c r="L533" s="9">
        <v>2024</v>
      </c>
      <c r="M533" s="8" t="s">
        <v>3423</v>
      </c>
      <c r="N533" s="8" t="s">
        <v>41</v>
      </c>
      <c r="O533" s="8" t="s">
        <v>65</v>
      </c>
      <c r="P533" s="6" t="s">
        <v>55</v>
      </c>
      <c r="Q533" s="8" t="s">
        <v>594</v>
      </c>
      <c r="R533" s="10" t="s">
        <v>3424</v>
      </c>
      <c r="S533" s="11" t="s">
        <v>3425</v>
      </c>
      <c r="T533" s="6"/>
      <c r="U533" s="28" t="str">
        <f>HYPERLINK("https://media.infra-m.ru/2110/2110946/cover/2110946.jpg", "Обложка")</f>
        <v>Обложка</v>
      </c>
      <c r="V533" s="28" t="str">
        <f>HYPERLINK("https://znanium.ru/catalog/product/2110946", "Ознакомиться")</f>
        <v>Ознакомиться</v>
      </c>
      <c r="W533" s="8" t="s">
        <v>1705</v>
      </c>
      <c r="X533" s="6"/>
      <c r="Y533" s="6"/>
      <c r="Z533" s="6"/>
      <c r="AA533" s="6" t="s">
        <v>3426</v>
      </c>
    </row>
    <row r="534" spans="1:27" s="4" customFormat="1" ht="51.95" customHeight="1">
      <c r="A534" s="5">
        <v>0</v>
      </c>
      <c r="B534" s="6" t="s">
        <v>3427</v>
      </c>
      <c r="C534" s="13">
        <v>774.9</v>
      </c>
      <c r="D534" s="8" t="s">
        <v>3428</v>
      </c>
      <c r="E534" s="8" t="s">
        <v>3429</v>
      </c>
      <c r="F534" s="8" t="s">
        <v>3430</v>
      </c>
      <c r="G534" s="6" t="s">
        <v>123</v>
      </c>
      <c r="H534" s="6" t="s">
        <v>38</v>
      </c>
      <c r="I534" s="8" t="s">
        <v>884</v>
      </c>
      <c r="J534" s="9">
        <v>1</v>
      </c>
      <c r="K534" s="9">
        <v>267</v>
      </c>
      <c r="L534" s="9">
        <v>2018</v>
      </c>
      <c r="M534" s="8" t="s">
        <v>3431</v>
      </c>
      <c r="N534" s="8" t="s">
        <v>41</v>
      </c>
      <c r="O534" s="8" t="s">
        <v>65</v>
      </c>
      <c r="P534" s="6" t="s">
        <v>55</v>
      </c>
      <c r="Q534" s="8" t="s">
        <v>594</v>
      </c>
      <c r="R534" s="10" t="s">
        <v>3424</v>
      </c>
      <c r="S534" s="11" t="s">
        <v>3432</v>
      </c>
      <c r="T534" s="6"/>
      <c r="U534" s="28" t="str">
        <f>HYPERLINK("https://media.infra-m.ru/0928/0928350/cover/928350.jpg", "Обложка")</f>
        <v>Обложка</v>
      </c>
      <c r="V534" s="28" t="str">
        <f>HYPERLINK("https://znanium.ru/catalog/product/2110946", "Ознакомиться")</f>
        <v>Ознакомиться</v>
      </c>
      <c r="W534" s="8" t="s">
        <v>1705</v>
      </c>
      <c r="X534" s="6"/>
      <c r="Y534" s="6"/>
      <c r="Z534" s="6"/>
      <c r="AA534" s="6" t="s">
        <v>1500</v>
      </c>
    </row>
    <row r="535" spans="1:27" s="4" customFormat="1" ht="51.95" customHeight="1">
      <c r="A535" s="5">
        <v>0</v>
      </c>
      <c r="B535" s="6" t="s">
        <v>3433</v>
      </c>
      <c r="C535" s="7">
        <v>1390</v>
      </c>
      <c r="D535" s="8" t="s">
        <v>3434</v>
      </c>
      <c r="E535" s="8" t="s">
        <v>3435</v>
      </c>
      <c r="F535" s="8" t="s">
        <v>3436</v>
      </c>
      <c r="G535" s="6" t="s">
        <v>83</v>
      </c>
      <c r="H535" s="6" t="s">
        <v>38</v>
      </c>
      <c r="I535" s="8" t="s">
        <v>155</v>
      </c>
      <c r="J535" s="9">
        <v>1</v>
      </c>
      <c r="K535" s="9">
        <v>304</v>
      </c>
      <c r="L535" s="9">
        <v>2024</v>
      </c>
      <c r="M535" s="8" t="s">
        <v>3437</v>
      </c>
      <c r="N535" s="8" t="s">
        <v>74</v>
      </c>
      <c r="O535" s="8" t="s">
        <v>109</v>
      </c>
      <c r="P535" s="6" t="s">
        <v>55</v>
      </c>
      <c r="Q535" s="8" t="s">
        <v>56</v>
      </c>
      <c r="R535" s="10" t="s">
        <v>3438</v>
      </c>
      <c r="S535" s="11" t="s">
        <v>3439</v>
      </c>
      <c r="T535" s="6"/>
      <c r="U535" s="28" t="str">
        <f>HYPERLINK("https://media.infra-m.ru/1880/1880583/cover/1880583.jpg", "Обложка")</f>
        <v>Обложка</v>
      </c>
      <c r="V535" s="28" t="str">
        <f>HYPERLINK("https://znanium.ru/catalog/product/1880583", "Ознакомиться")</f>
        <v>Ознакомиться</v>
      </c>
      <c r="W535" s="8" t="s">
        <v>1679</v>
      </c>
      <c r="X535" s="6"/>
      <c r="Y535" s="6"/>
      <c r="Z535" s="6"/>
      <c r="AA535" s="6" t="s">
        <v>47</v>
      </c>
    </row>
    <row r="536" spans="1:27" s="4" customFormat="1" ht="44.1" customHeight="1">
      <c r="A536" s="5">
        <v>0</v>
      </c>
      <c r="B536" s="6" t="s">
        <v>3440</v>
      </c>
      <c r="C536" s="7">
        <v>1240</v>
      </c>
      <c r="D536" s="8" t="s">
        <v>3441</v>
      </c>
      <c r="E536" s="8" t="s">
        <v>3442</v>
      </c>
      <c r="F536" s="8" t="s">
        <v>3443</v>
      </c>
      <c r="G536" s="6" t="s">
        <v>83</v>
      </c>
      <c r="H536" s="6" t="s">
        <v>470</v>
      </c>
      <c r="I536" s="8" t="s">
        <v>1040</v>
      </c>
      <c r="J536" s="9">
        <v>18</v>
      </c>
      <c r="K536" s="9">
        <v>350</v>
      </c>
      <c r="L536" s="9">
        <v>2020</v>
      </c>
      <c r="M536" s="8" t="s">
        <v>3444</v>
      </c>
      <c r="N536" s="8" t="s">
        <v>74</v>
      </c>
      <c r="O536" s="8" t="s">
        <v>93</v>
      </c>
      <c r="P536" s="6" t="s">
        <v>43</v>
      </c>
      <c r="Q536" s="8" t="s">
        <v>44</v>
      </c>
      <c r="R536" s="10" t="s">
        <v>2786</v>
      </c>
      <c r="S536" s="11"/>
      <c r="T536" s="6"/>
      <c r="U536" s="28" t="str">
        <f>HYPERLINK("https://media.infra-m.ru/1069/1069026/cover/1069026.jpg", "Обложка")</f>
        <v>Обложка</v>
      </c>
      <c r="V536" s="28" t="str">
        <f>HYPERLINK("https://znanium.ru/catalog/product/1069026", "Ознакомиться")</f>
        <v>Ознакомиться</v>
      </c>
      <c r="W536" s="8" t="s">
        <v>3445</v>
      </c>
      <c r="X536" s="6"/>
      <c r="Y536" s="6"/>
      <c r="Z536" s="6"/>
      <c r="AA536" s="6" t="s">
        <v>650</v>
      </c>
    </row>
    <row r="537" spans="1:27" s="4" customFormat="1" ht="51.95" customHeight="1">
      <c r="A537" s="5">
        <v>0</v>
      </c>
      <c r="B537" s="6" t="s">
        <v>3446</v>
      </c>
      <c r="C537" s="7">
        <v>1294</v>
      </c>
      <c r="D537" s="8" t="s">
        <v>3447</v>
      </c>
      <c r="E537" s="8" t="s">
        <v>3448</v>
      </c>
      <c r="F537" s="8" t="s">
        <v>3449</v>
      </c>
      <c r="G537" s="6" t="s">
        <v>123</v>
      </c>
      <c r="H537" s="6" t="s">
        <v>38</v>
      </c>
      <c r="I537" s="8" t="s">
        <v>884</v>
      </c>
      <c r="J537" s="9">
        <v>1</v>
      </c>
      <c r="K537" s="9">
        <v>259</v>
      </c>
      <c r="L537" s="9">
        <v>2024</v>
      </c>
      <c r="M537" s="8" t="s">
        <v>3450</v>
      </c>
      <c r="N537" s="8" t="s">
        <v>74</v>
      </c>
      <c r="O537" s="8" t="s">
        <v>93</v>
      </c>
      <c r="P537" s="6" t="s">
        <v>176</v>
      </c>
      <c r="Q537" s="8" t="s">
        <v>594</v>
      </c>
      <c r="R537" s="10" t="s">
        <v>3451</v>
      </c>
      <c r="S537" s="11"/>
      <c r="T537" s="6"/>
      <c r="U537" s="28" t="str">
        <f>HYPERLINK("https://media.infra-m.ru/2152/2152334/cover/2152334.jpg", "Обложка")</f>
        <v>Обложка</v>
      </c>
      <c r="V537" s="28" t="str">
        <f>HYPERLINK("https://znanium.ru/catalog/product/2128046", "Ознакомиться")</f>
        <v>Ознакомиться</v>
      </c>
      <c r="W537" s="8" t="s">
        <v>1005</v>
      </c>
      <c r="X537" s="6"/>
      <c r="Y537" s="6"/>
      <c r="Z537" s="6"/>
      <c r="AA537" s="6" t="s">
        <v>111</v>
      </c>
    </row>
    <row r="538" spans="1:27" s="4" customFormat="1" ht="51.95" customHeight="1">
      <c r="A538" s="5">
        <v>0</v>
      </c>
      <c r="B538" s="6" t="s">
        <v>3452</v>
      </c>
      <c r="C538" s="13">
        <v>890</v>
      </c>
      <c r="D538" s="8" t="s">
        <v>3453</v>
      </c>
      <c r="E538" s="8" t="s">
        <v>3454</v>
      </c>
      <c r="F538" s="8" t="s">
        <v>3455</v>
      </c>
      <c r="G538" s="6" t="s">
        <v>123</v>
      </c>
      <c r="H538" s="6" t="s">
        <v>38</v>
      </c>
      <c r="I538" s="8" t="s">
        <v>884</v>
      </c>
      <c r="J538" s="9">
        <v>1</v>
      </c>
      <c r="K538" s="9">
        <v>179</v>
      </c>
      <c r="L538" s="9">
        <v>2023</v>
      </c>
      <c r="M538" s="8" t="s">
        <v>3456</v>
      </c>
      <c r="N538" s="8" t="s">
        <v>41</v>
      </c>
      <c r="O538" s="8" t="s">
        <v>65</v>
      </c>
      <c r="P538" s="6" t="s">
        <v>55</v>
      </c>
      <c r="Q538" s="8" t="s">
        <v>594</v>
      </c>
      <c r="R538" s="10" t="s">
        <v>3457</v>
      </c>
      <c r="S538" s="11" t="s">
        <v>3458</v>
      </c>
      <c r="T538" s="6"/>
      <c r="U538" s="28" t="str">
        <f>HYPERLINK("https://media.infra-m.ru/1316/1316922/cover/1316922.jpg", "Обложка")</f>
        <v>Обложка</v>
      </c>
      <c r="V538" s="28" t="str">
        <f>HYPERLINK("https://znanium.ru/catalog/product/1316922", "Ознакомиться")</f>
        <v>Ознакомиться</v>
      </c>
      <c r="W538" s="8" t="s">
        <v>1946</v>
      </c>
      <c r="X538" s="6"/>
      <c r="Y538" s="6"/>
      <c r="Z538" s="6"/>
      <c r="AA538" s="6" t="s">
        <v>111</v>
      </c>
    </row>
    <row r="539" spans="1:27" s="4" customFormat="1" ht="51.95" customHeight="1">
      <c r="A539" s="5">
        <v>0</v>
      </c>
      <c r="B539" s="6" t="s">
        <v>3459</v>
      </c>
      <c r="C539" s="13">
        <v>690</v>
      </c>
      <c r="D539" s="8" t="s">
        <v>3460</v>
      </c>
      <c r="E539" s="8" t="s">
        <v>3461</v>
      </c>
      <c r="F539" s="8" t="s">
        <v>3462</v>
      </c>
      <c r="G539" s="6" t="s">
        <v>83</v>
      </c>
      <c r="H539" s="6" t="s">
        <v>38</v>
      </c>
      <c r="I539" s="8" t="s">
        <v>884</v>
      </c>
      <c r="J539" s="9">
        <v>1</v>
      </c>
      <c r="K539" s="9">
        <v>154</v>
      </c>
      <c r="L539" s="9">
        <v>2023</v>
      </c>
      <c r="M539" s="8" t="s">
        <v>3463</v>
      </c>
      <c r="N539" s="8" t="s">
        <v>41</v>
      </c>
      <c r="O539" s="8" t="s">
        <v>65</v>
      </c>
      <c r="P539" s="6" t="s">
        <v>55</v>
      </c>
      <c r="Q539" s="8" t="s">
        <v>594</v>
      </c>
      <c r="R539" s="10" t="s">
        <v>3464</v>
      </c>
      <c r="S539" s="11" t="s">
        <v>3465</v>
      </c>
      <c r="T539" s="6"/>
      <c r="U539" s="28" t="str">
        <f>HYPERLINK("https://media.infra-m.ru/1933/1933154/cover/1933154.jpg", "Обложка")</f>
        <v>Обложка</v>
      </c>
      <c r="V539" s="28" t="str">
        <f>HYPERLINK("https://znanium.ru/catalog/product/1933154", "Ознакомиться")</f>
        <v>Ознакомиться</v>
      </c>
      <c r="W539" s="8" t="s">
        <v>1841</v>
      </c>
      <c r="X539" s="6"/>
      <c r="Y539" s="6"/>
      <c r="Z539" s="6"/>
      <c r="AA539" s="6" t="s">
        <v>650</v>
      </c>
    </row>
    <row r="540" spans="1:27" s="4" customFormat="1" ht="51.95" customHeight="1">
      <c r="A540" s="5">
        <v>0</v>
      </c>
      <c r="B540" s="6" t="s">
        <v>3466</v>
      </c>
      <c r="C540" s="13">
        <v>874.9</v>
      </c>
      <c r="D540" s="8" t="s">
        <v>3467</v>
      </c>
      <c r="E540" s="8" t="s">
        <v>3468</v>
      </c>
      <c r="F540" s="8" t="s">
        <v>3469</v>
      </c>
      <c r="G540" s="6" t="s">
        <v>123</v>
      </c>
      <c r="H540" s="6" t="s">
        <v>470</v>
      </c>
      <c r="I540" s="8"/>
      <c r="J540" s="9">
        <v>1</v>
      </c>
      <c r="K540" s="9">
        <v>237</v>
      </c>
      <c r="L540" s="9">
        <v>2020</v>
      </c>
      <c r="M540" s="8" t="s">
        <v>3470</v>
      </c>
      <c r="N540" s="8" t="s">
        <v>41</v>
      </c>
      <c r="O540" s="8" t="s">
        <v>65</v>
      </c>
      <c r="P540" s="6" t="s">
        <v>55</v>
      </c>
      <c r="Q540" s="8" t="s">
        <v>56</v>
      </c>
      <c r="R540" s="10" t="s">
        <v>3471</v>
      </c>
      <c r="S540" s="11" t="s">
        <v>3472</v>
      </c>
      <c r="T540" s="6"/>
      <c r="U540" s="28" t="str">
        <f>HYPERLINK("https://media.infra-m.ru/1410/1410758/cover/1410758.jpg", "Обложка")</f>
        <v>Обложка</v>
      </c>
      <c r="V540" s="28" t="str">
        <f>HYPERLINK("https://znanium.ru/catalog/product/1227510", "Ознакомиться")</f>
        <v>Ознакомиться</v>
      </c>
      <c r="W540" s="8" t="s">
        <v>297</v>
      </c>
      <c r="X540" s="6"/>
      <c r="Y540" s="6"/>
      <c r="Z540" s="6"/>
      <c r="AA540" s="6" t="s">
        <v>47</v>
      </c>
    </row>
    <row r="541" spans="1:27" s="4" customFormat="1" ht="42" customHeight="1">
      <c r="A541" s="5">
        <v>0</v>
      </c>
      <c r="B541" s="6" t="s">
        <v>3473</v>
      </c>
      <c r="C541" s="7">
        <v>1754</v>
      </c>
      <c r="D541" s="8" t="s">
        <v>3474</v>
      </c>
      <c r="E541" s="8" t="s">
        <v>3475</v>
      </c>
      <c r="F541" s="8" t="s">
        <v>3476</v>
      </c>
      <c r="G541" s="6" t="s">
        <v>123</v>
      </c>
      <c r="H541" s="6" t="s">
        <v>38</v>
      </c>
      <c r="I541" s="8" t="s">
        <v>164</v>
      </c>
      <c r="J541" s="9">
        <v>1</v>
      </c>
      <c r="K541" s="9">
        <v>381</v>
      </c>
      <c r="L541" s="9">
        <v>2024</v>
      </c>
      <c r="M541" s="8" t="s">
        <v>3477</v>
      </c>
      <c r="N541" s="8" t="s">
        <v>41</v>
      </c>
      <c r="O541" s="8" t="s">
        <v>65</v>
      </c>
      <c r="P541" s="6" t="s">
        <v>55</v>
      </c>
      <c r="Q541" s="8" t="s">
        <v>56</v>
      </c>
      <c r="R541" s="10" t="s">
        <v>2445</v>
      </c>
      <c r="S541" s="11"/>
      <c r="T541" s="6" t="s">
        <v>190</v>
      </c>
      <c r="U541" s="28" t="str">
        <f>HYPERLINK("https://media.infra-m.ru/2087/2087740/cover/2087740.jpg", "Обложка")</f>
        <v>Обложка</v>
      </c>
      <c r="V541" s="28" t="str">
        <f>HYPERLINK("https://znanium.ru/catalog/product/1220558", "Ознакомиться")</f>
        <v>Ознакомиться</v>
      </c>
      <c r="W541" s="8" t="s">
        <v>1592</v>
      </c>
      <c r="X541" s="6"/>
      <c r="Y541" s="6"/>
      <c r="Z541" s="6"/>
      <c r="AA541" s="6" t="s">
        <v>381</v>
      </c>
    </row>
    <row r="542" spans="1:27" s="4" customFormat="1" ht="51.95" customHeight="1">
      <c r="A542" s="5">
        <v>0</v>
      </c>
      <c r="B542" s="6" t="s">
        <v>3478</v>
      </c>
      <c r="C542" s="7">
        <v>1234</v>
      </c>
      <c r="D542" s="8" t="s">
        <v>3479</v>
      </c>
      <c r="E542" s="8" t="s">
        <v>3480</v>
      </c>
      <c r="F542" s="8" t="s">
        <v>3481</v>
      </c>
      <c r="G542" s="6" t="s">
        <v>83</v>
      </c>
      <c r="H542" s="6" t="s">
        <v>38</v>
      </c>
      <c r="I542" s="8" t="s">
        <v>164</v>
      </c>
      <c r="J542" s="9">
        <v>1</v>
      </c>
      <c r="K542" s="9">
        <v>268</v>
      </c>
      <c r="L542" s="9">
        <v>2024</v>
      </c>
      <c r="M542" s="8" t="s">
        <v>3482</v>
      </c>
      <c r="N542" s="8" t="s">
        <v>41</v>
      </c>
      <c r="O542" s="8" t="s">
        <v>65</v>
      </c>
      <c r="P542" s="6" t="s">
        <v>55</v>
      </c>
      <c r="Q542" s="8" t="s">
        <v>56</v>
      </c>
      <c r="R542" s="10" t="s">
        <v>3471</v>
      </c>
      <c r="S542" s="11" t="s">
        <v>3483</v>
      </c>
      <c r="T542" s="6"/>
      <c r="U542" s="28" t="str">
        <f>HYPERLINK("https://media.infra-m.ru/2082/2082883/cover/2082883.jpg", "Обложка")</f>
        <v>Обложка</v>
      </c>
      <c r="V542" s="28" t="str">
        <f>HYPERLINK("https://znanium.ru/catalog/product/1227510", "Ознакомиться")</f>
        <v>Ознакомиться</v>
      </c>
      <c r="W542" s="8" t="s">
        <v>297</v>
      </c>
      <c r="X542" s="6"/>
      <c r="Y542" s="6"/>
      <c r="Z542" s="6"/>
      <c r="AA542" s="6" t="s">
        <v>2321</v>
      </c>
    </row>
    <row r="543" spans="1:27" s="4" customFormat="1" ht="51.95" customHeight="1">
      <c r="A543" s="5">
        <v>0</v>
      </c>
      <c r="B543" s="6" t="s">
        <v>3484</v>
      </c>
      <c r="C543" s="7">
        <v>1030</v>
      </c>
      <c r="D543" s="8" t="s">
        <v>3485</v>
      </c>
      <c r="E543" s="8" t="s">
        <v>3486</v>
      </c>
      <c r="F543" s="8" t="s">
        <v>3487</v>
      </c>
      <c r="G543" s="6" t="s">
        <v>83</v>
      </c>
      <c r="H543" s="6" t="s">
        <v>38</v>
      </c>
      <c r="I543" s="8" t="s">
        <v>884</v>
      </c>
      <c r="J543" s="9">
        <v>1</v>
      </c>
      <c r="K543" s="9">
        <v>272</v>
      </c>
      <c r="L543" s="9">
        <v>2022</v>
      </c>
      <c r="M543" s="8" t="s">
        <v>3488</v>
      </c>
      <c r="N543" s="8" t="s">
        <v>74</v>
      </c>
      <c r="O543" s="8" t="s">
        <v>93</v>
      </c>
      <c r="P543" s="6" t="s">
        <v>55</v>
      </c>
      <c r="Q543" s="8" t="s">
        <v>594</v>
      </c>
      <c r="R543" s="10" t="s">
        <v>1541</v>
      </c>
      <c r="S543" s="11" t="s">
        <v>3489</v>
      </c>
      <c r="T543" s="6"/>
      <c r="U543" s="28" t="str">
        <f>HYPERLINK("https://media.infra-m.ru/1020/1020658/cover/1020658.jpg", "Обложка")</f>
        <v>Обложка</v>
      </c>
      <c r="V543" s="28" t="str">
        <f>HYPERLINK("https://znanium.ru/catalog/product/1020658", "Ознакомиться")</f>
        <v>Ознакомиться</v>
      </c>
      <c r="W543" s="8" t="s">
        <v>2740</v>
      </c>
      <c r="X543" s="6"/>
      <c r="Y543" s="6"/>
      <c r="Z543" s="6"/>
      <c r="AA543" s="6" t="s">
        <v>290</v>
      </c>
    </row>
    <row r="544" spans="1:27" s="4" customFormat="1" ht="51.95" customHeight="1">
      <c r="A544" s="5">
        <v>0</v>
      </c>
      <c r="B544" s="6" t="s">
        <v>3490</v>
      </c>
      <c r="C544" s="7">
        <v>2400</v>
      </c>
      <c r="D544" s="8" t="s">
        <v>3491</v>
      </c>
      <c r="E544" s="8" t="s">
        <v>3492</v>
      </c>
      <c r="F544" s="8" t="s">
        <v>3493</v>
      </c>
      <c r="G544" s="6" t="s">
        <v>123</v>
      </c>
      <c r="H544" s="6" t="s">
        <v>38</v>
      </c>
      <c r="I544" s="8" t="s">
        <v>155</v>
      </c>
      <c r="J544" s="9">
        <v>1</v>
      </c>
      <c r="K544" s="9">
        <v>768</v>
      </c>
      <c r="L544" s="9">
        <v>2024</v>
      </c>
      <c r="M544" s="8" t="s">
        <v>3494</v>
      </c>
      <c r="N544" s="8" t="s">
        <v>41</v>
      </c>
      <c r="O544" s="8" t="s">
        <v>65</v>
      </c>
      <c r="P544" s="6" t="s">
        <v>176</v>
      </c>
      <c r="Q544" s="8" t="s">
        <v>177</v>
      </c>
      <c r="R544" s="10" t="s">
        <v>3495</v>
      </c>
      <c r="S544" s="11" t="s">
        <v>3496</v>
      </c>
      <c r="T544" s="6"/>
      <c r="U544" s="28" t="str">
        <f>HYPERLINK("https://media.infra-m.ru/2078/2078369/cover/2078369.jpg", "Обложка")</f>
        <v>Обложка</v>
      </c>
      <c r="V544" s="28" t="str">
        <f>HYPERLINK("https://znanium.ru/catalog/product/2078369", "Ознакомиться")</f>
        <v>Ознакомиться</v>
      </c>
      <c r="W544" s="8" t="s">
        <v>3497</v>
      </c>
      <c r="X544" s="6"/>
      <c r="Y544" s="6"/>
      <c r="Z544" s="6"/>
      <c r="AA544" s="6" t="s">
        <v>3498</v>
      </c>
    </row>
    <row r="545" spans="1:27" s="4" customFormat="1" ht="51.95" customHeight="1">
      <c r="A545" s="5">
        <v>0</v>
      </c>
      <c r="B545" s="6" t="s">
        <v>3499</v>
      </c>
      <c r="C545" s="13">
        <v>770</v>
      </c>
      <c r="D545" s="8" t="s">
        <v>3500</v>
      </c>
      <c r="E545" s="8" t="s">
        <v>3501</v>
      </c>
      <c r="F545" s="8" t="s">
        <v>3502</v>
      </c>
      <c r="G545" s="6" t="s">
        <v>83</v>
      </c>
      <c r="H545" s="6" t="s">
        <v>38</v>
      </c>
      <c r="I545" s="8" t="s">
        <v>164</v>
      </c>
      <c r="J545" s="9">
        <v>1</v>
      </c>
      <c r="K545" s="9">
        <v>166</v>
      </c>
      <c r="L545" s="9">
        <v>2023</v>
      </c>
      <c r="M545" s="8" t="s">
        <v>3503</v>
      </c>
      <c r="N545" s="8" t="s">
        <v>74</v>
      </c>
      <c r="O545" s="8" t="s">
        <v>75</v>
      </c>
      <c r="P545" s="6" t="s">
        <v>55</v>
      </c>
      <c r="Q545" s="8" t="s">
        <v>177</v>
      </c>
      <c r="R545" s="10" t="s">
        <v>3504</v>
      </c>
      <c r="S545" s="11" t="s">
        <v>3505</v>
      </c>
      <c r="T545" s="6"/>
      <c r="U545" s="28" t="str">
        <f>HYPERLINK("https://media.infra-m.ru/2111/2111335/cover/2111335.jpg", "Обложка")</f>
        <v>Обложка</v>
      </c>
      <c r="V545" s="28" t="str">
        <f>HYPERLINK("https://znanium.ru/catalog/product/2111335", "Ознакомиться")</f>
        <v>Ознакомиться</v>
      </c>
      <c r="W545" s="8" t="s">
        <v>3506</v>
      </c>
      <c r="X545" s="6"/>
      <c r="Y545" s="6"/>
      <c r="Z545" s="6"/>
      <c r="AA545" s="6" t="s">
        <v>78</v>
      </c>
    </row>
    <row r="546" spans="1:27" s="4" customFormat="1" ht="51.95" customHeight="1">
      <c r="A546" s="5">
        <v>0</v>
      </c>
      <c r="B546" s="6" t="s">
        <v>3507</v>
      </c>
      <c r="C546" s="7">
        <v>1694</v>
      </c>
      <c r="D546" s="8" t="s">
        <v>3508</v>
      </c>
      <c r="E546" s="8" t="s">
        <v>3509</v>
      </c>
      <c r="F546" s="8" t="s">
        <v>3510</v>
      </c>
      <c r="G546" s="6" t="s">
        <v>83</v>
      </c>
      <c r="H546" s="6" t="s">
        <v>38</v>
      </c>
      <c r="I546" s="8" t="s">
        <v>164</v>
      </c>
      <c r="J546" s="9">
        <v>1</v>
      </c>
      <c r="K546" s="9">
        <v>368</v>
      </c>
      <c r="L546" s="9">
        <v>2024</v>
      </c>
      <c r="M546" s="8" t="s">
        <v>3511</v>
      </c>
      <c r="N546" s="8" t="s">
        <v>41</v>
      </c>
      <c r="O546" s="8" t="s">
        <v>65</v>
      </c>
      <c r="P546" s="6" t="s">
        <v>176</v>
      </c>
      <c r="Q546" s="8" t="s">
        <v>56</v>
      </c>
      <c r="R546" s="10" t="s">
        <v>2457</v>
      </c>
      <c r="S546" s="11" t="s">
        <v>3512</v>
      </c>
      <c r="T546" s="6"/>
      <c r="U546" s="28" t="str">
        <f>HYPERLINK("https://media.infra-m.ru/2083/2083555/cover/2083555.jpg", "Обложка")</f>
        <v>Обложка</v>
      </c>
      <c r="V546" s="28" t="str">
        <f>HYPERLINK("https://znanium.ru/catalog/product/1816817", "Ознакомиться")</f>
        <v>Ознакомиться</v>
      </c>
      <c r="W546" s="8" t="s">
        <v>3497</v>
      </c>
      <c r="X546" s="6"/>
      <c r="Y546" s="6"/>
      <c r="Z546" s="6"/>
      <c r="AA546" s="6" t="s">
        <v>3513</v>
      </c>
    </row>
    <row r="547" spans="1:27" s="4" customFormat="1" ht="51.95" customHeight="1">
      <c r="A547" s="5">
        <v>0</v>
      </c>
      <c r="B547" s="6" t="s">
        <v>3514</v>
      </c>
      <c r="C547" s="7">
        <v>1074.9000000000001</v>
      </c>
      <c r="D547" s="8" t="s">
        <v>3515</v>
      </c>
      <c r="E547" s="8" t="s">
        <v>3516</v>
      </c>
      <c r="F547" s="8" t="s">
        <v>3517</v>
      </c>
      <c r="G547" s="6" t="s">
        <v>123</v>
      </c>
      <c r="H547" s="6" t="s">
        <v>934</v>
      </c>
      <c r="I547" s="8" t="s">
        <v>3518</v>
      </c>
      <c r="J547" s="9">
        <v>14</v>
      </c>
      <c r="K547" s="9">
        <v>368</v>
      </c>
      <c r="L547" s="9">
        <v>2018</v>
      </c>
      <c r="M547" s="8" t="s">
        <v>3519</v>
      </c>
      <c r="N547" s="8" t="s">
        <v>41</v>
      </c>
      <c r="O547" s="8" t="s">
        <v>65</v>
      </c>
      <c r="P547" s="6" t="s">
        <v>176</v>
      </c>
      <c r="Q547" s="8" t="s">
        <v>56</v>
      </c>
      <c r="R547" s="10" t="s">
        <v>2457</v>
      </c>
      <c r="S547" s="11" t="s">
        <v>3520</v>
      </c>
      <c r="T547" s="6"/>
      <c r="U547" s="28" t="str">
        <f>HYPERLINK("https://media.infra-m.ru/0927/0927412/cover/927412.jpg", "Обложка")</f>
        <v>Обложка</v>
      </c>
      <c r="V547" s="28" t="str">
        <f>HYPERLINK("https://znanium.ru/catalog/product/1816817", "Ознакомиться")</f>
        <v>Ознакомиться</v>
      </c>
      <c r="W547" s="8" t="s">
        <v>3497</v>
      </c>
      <c r="X547" s="6"/>
      <c r="Y547" s="6"/>
      <c r="Z547" s="6"/>
      <c r="AA547" s="6" t="s">
        <v>2727</v>
      </c>
    </row>
    <row r="548" spans="1:27" s="4" customFormat="1" ht="42" customHeight="1">
      <c r="A548" s="5">
        <v>0</v>
      </c>
      <c r="B548" s="6" t="s">
        <v>3521</v>
      </c>
      <c r="C548" s="13">
        <v>418</v>
      </c>
      <c r="D548" s="8" t="s">
        <v>3522</v>
      </c>
      <c r="E548" s="8" t="s">
        <v>3523</v>
      </c>
      <c r="F548" s="8" t="s">
        <v>269</v>
      </c>
      <c r="G548" s="6" t="s">
        <v>37</v>
      </c>
      <c r="H548" s="6" t="s">
        <v>38</v>
      </c>
      <c r="I548" s="8"/>
      <c r="J548" s="9">
        <v>1</v>
      </c>
      <c r="K548" s="9">
        <v>112</v>
      </c>
      <c r="L548" s="9">
        <v>2024</v>
      </c>
      <c r="M548" s="8" t="s">
        <v>3524</v>
      </c>
      <c r="N548" s="8" t="s">
        <v>74</v>
      </c>
      <c r="O548" s="8" t="s">
        <v>75</v>
      </c>
      <c r="P548" s="6" t="s">
        <v>272</v>
      </c>
      <c r="Q548" s="8" t="s">
        <v>3525</v>
      </c>
      <c r="R548" s="10" t="s">
        <v>3526</v>
      </c>
      <c r="S548" s="11"/>
      <c r="T548" s="6"/>
      <c r="U548" s="28" t="str">
        <f>HYPERLINK("https://media.infra-m.ru/2118/2118163/cover/2118163.jpg", "Обложка")</f>
        <v>Обложка</v>
      </c>
      <c r="V548" s="28" t="str">
        <f>HYPERLINK("https://znanium.ru/catalog/product/1048334", "Ознакомиться")</f>
        <v>Ознакомиться</v>
      </c>
      <c r="W548" s="8" t="s">
        <v>273</v>
      </c>
      <c r="X548" s="6"/>
      <c r="Y548" s="6"/>
      <c r="Z548" s="6"/>
      <c r="AA548" s="6" t="s">
        <v>3527</v>
      </c>
    </row>
    <row r="549" spans="1:27" s="4" customFormat="1" ht="51.95" customHeight="1">
      <c r="A549" s="5">
        <v>0</v>
      </c>
      <c r="B549" s="6" t="s">
        <v>3528</v>
      </c>
      <c r="C549" s="7">
        <v>1224.9000000000001</v>
      </c>
      <c r="D549" s="8" t="s">
        <v>3529</v>
      </c>
      <c r="E549" s="8" t="s">
        <v>3530</v>
      </c>
      <c r="F549" s="8" t="s">
        <v>3531</v>
      </c>
      <c r="G549" s="6" t="s">
        <v>123</v>
      </c>
      <c r="H549" s="6" t="s">
        <v>618</v>
      </c>
      <c r="I549" s="8"/>
      <c r="J549" s="9">
        <v>1</v>
      </c>
      <c r="K549" s="9">
        <v>272</v>
      </c>
      <c r="L549" s="9">
        <v>2023</v>
      </c>
      <c r="M549" s="8" t="s">
        <v>3532</v>
      </c>
      <c r="N549" s="8" t="s">
        <v>41</v>
      </c>
      <c r="O549" s="8" t="s">
        <v>65</v>
      </c>
      <c r="P549" s="6" t="s">
        <v>43</v>
      </c>
      <c r="Q549" s="8" t="s">
        <v>44</v>
      </c>
      <c r="R549" s="10" t="s">
        <v>3533</v>
      </c>
      <c r="S549" s="11"/>
      <c r="T549" s="6"/>
      <c r="U549" s="28" t="str">
        <f>HYPERLINK("https://media.infra-m.ru/1913/1913682/cover/1913682.jpg", "Обложка")</f>
        <v>Обложка</v>
      </c>
      <c r="V549" s="28" t="str">
        <f>HYPERLINK("https://znanium.ru/catalog/product/938034", "Ознакомиться")</f>
        <v>Ознакомиться</v>
      </c>
      <c r="W549" s="8" t="s">
        <v>2246</v>
      </c>
      <c r="X549" s="6"/>
      <c r="Y549" s="6"/>
      <c r="Z549" s="6"/>
      <c r="AA549" s="6" t="s">
        <v>364</v>
      </c>
    </row>
    <row r="550" spans="1:27" s="4" customFormat="1" ht="51.95" customHeight="1">
      <c r="A550" s="5">
        <v>0</v>
      </c>
      <c r="B550" s="6" t="s">
        <v>3534</v>
      </c>
      <c r="C550" s="7">
        <v>1930</v>
      </c>
      <c r="D550" s="8" t="s">
        <v>3535</v>
      </c>
      <c r="E550" s="8" t="s">
        <v>3536</v>
      </c>
      <c r="F550" s="8" t="s">
        <v>3537</v>
      </c>
      <c r="G550" s="6" t="s">
        <v>123</v>
      </c>
      <c r="H550" s="6" t="s">
        <v>38</v>
      </c>
      <c r="I550" s="8" t="s">
        <v>205</v>
      </c>
      <c r="J550" s="9">
        <v>1</v>
      </c>
      <c r="K550" s="9">
        <v>418</v>
      </c>
      <c r="L550" s="9">
        <v>2024</v>
      </c>
      <c r="M550" s="8" t="s">
        <v>3538</v>
      </c>
      <c r="N550" s="8" t="s">
        <v>41</v>
      </c>
      <c r="O550" s="8" t="s">
        <v>54</v>
      </c>
      <c r="P550" s="6" t="s">
        <v>55</v>
      </c>
      <c r="Q550" s="8" t="s">
        <v>207</v>
      </c>
      <c r="R550" s="10" t="s">
        <v>3539</v>
      </c>
      <c r="S550" s="11" t="s">
        <v>3540</v>
      </c>
      <c r="T550" s="6"/>
      <c r="U550" s="28" t="str">
        <f>HYPERLINK("https://media.infra-m.ru/2107/2107409/cover/2107409.jpg", "Обложка")</f>
        <v>Обложка</v>
      </c>
      <c r="V550" s="28" t="str">
        <f>HYPERLINK("https://znanium.ru/catalog/product/2107409", "Ознакомиться")</f>
        <v>Ознакомиться</v>
      </c>
      <c r="W550" s="8" t="s">
        <v>3541</v>
      </c>
      <c r="X550" s="6"/>
      <c r="Y550" s="6"/>
      <c r="Z550" s="6" t="s">
        <v>235</v>
      </c>
      <c r="AA550" s="6" t="s">
        <v>312</v>
      </c>
    </row>
    <row r="551" spans="1:27" s="4" customFormat="1" ht="51.95" customHeight="1">
      <c r="A551" s="5">
        <v>0</v>
      </c>
      <c r="B551" s="6" t="s">
        <v>3542</v>
      </c>
      <c r="C551" s="7">
        <v>1930</v>
      </c>
      <c r="D551" s="8" t="s">
        <v>3543</v>
      </c>
      <c r="E551" s="8" t="s">
        <v>3536</v>
      </c>
      <c r="F551" s="8" t="s">
        <v>3544</v>
      </c>
      <c r="G551" s="6" t="s">
        <v>123</v>
      </c>
      <c r="H551" s="6" t="s">
        <v>38</v>
      </c>
      <c r="I551" s="8" t="s">
        <v>155</v>
      </c>
      <c r="J551" s="9">
        <v>1</v>
      </c>
      <c r="K551" s="9">
        <v>418</v>
      </c>
      <c r="L551" s="9">
        <v>2023</v>
      </c>
      <c r="M551" s="8" t="s">
        <v>3545</v>
      </c>
      <c r="N551" s="8" t="s">
        <v>41</v>
      </c>
      <c r="O551" s="8" t="s">
        <v>54</v>
      </c>
      <c r="P551" s="6" t="s">
        <v>55</v>
      </c>
      <c r="Q551" s="8" t="s">
        <v>56</v>
      </c>
      <c r="R551" s="10" t="s">
        <v>3546</v>
      </c>
      <c r="S551" s="11" t="s">
        <v>3547</v>
      </c>
      <c r="T551" s="6"/>
      <c r="U551" s="28" t="str">
        <f>HYPERLINK("https://media.infra-m.ru/1929/1929159/cover/1929159.jpg", "Обложка")</f>
        <v>Обложка</v>
      </c>
      <c r="V551" s="28" t="str">
        <f>HYPERLINK("https://znanium.ru/catalog/product/1929159", "Ознакомиться")</f>
        <v>Ознакомиться</v>
      </c>
      <c r="W551" s="8" t="s">
        <v>3541</v>
      </c>
      <c r="X551" s="6"/>
      <c r="Y551" s="6"/>
      <c r="Z551" s="6"/>
      <c r="AA551" s="6" t="s">
        <v>1772</v>
      </c>
    </row>
    <row r="552" spans="1:27" s="4" customFormat="1" ht="51.95" customHeight="1">
      <c r="A552" s="5">
        <v>0</v>
      </c>
      <c r="B552" s="6" t="s">
        <v>3548</v>
      </c>
      <c r="C552" s="7">
        <v>1300</v>
      </c>
      <c r="D552" s="8" t="s">
        <v>3549</v>
      </c>
      <c r="E552" s="8" t="s">
        <v>3550</v>
      </c>
      <c r="F552" s="8" t="s">
        <v>145</v>
      </c>
      <c r="G552" s="6" t="s">
        <v>83</v>
      </c>
      <c r="H552" s="6" t="s">
        <v>38</v>
      </c>
      <c r="I552" s="8" t="s">
        <v>3551</v>
      </c>
      <c r="J552" s="9">
        <v>1</v>
      </c>
      <c r="K552" s="9">
        <v>281</v>
      </c>
      <c r="L552" s="9">
        <v>2024</v>
      </c>
      <c r="M552" s="8" t="s">
        <v>3552</v>
      </c>
      <c r="N552" s="8" t="s">
        <v>41</v>
      </c>
      <c r="O552" s="8" t="s">
        <v>54</v>
      </c>
      <c r="P552" s="6" t="s">
        <v>55</v>
      </c>
      <c r="Q552" s="8" t="s">
        <v>207</v>
      </c>
      <c r="R552" s="10" t="s">
        <v>3553</v>
      </c>
      <c r="S552" s="11" t="s">
        <v>3554</v>
      </c>
      <c r="T552" s="6"/>
      <c r="U552" s="28" t="str">
        <f>HYPERLINK("https://media.infra-m.ru/2099/2099053/cover/2099053.jpg", "Обложка")</f>
        <v>Обложка</v>
      </c>
      <c r="V552" s="28" t="str">
        <f>HYPERLINK("https://znanium.ru/catalog/product/2099053", "Ознакомиться")</f>
        <v>Ознакомиться</v>
      </c>
      <c r="W552" s="8" t="s">
        <v>149</v>
      </c>
      <c r="X552" s="6"/>
      <c r="Y552" s="6"/>
      <c r="Z552" s="6"/>
      <c r="AA552" s="6" t="s">
        <v>141</v>
      </c>
    </row>
    <row r="553" spans="1:27" s="4" customFormat="1" ht="42" customHeight="1">
      <c r="A553" s="5">
        <v>0</v>
      </c>
      <c r="B553" s="6" t="s">
        <v>3555</v>
      </c>
      <c r="C553" s="13">
        <v>360</v>
      </c>
      <c r="D553" s="8" t="s">
        <v>3556</v>
      </c>
      <c r="E553" s="8" t="s">
        <v>3557</v>
      </c>
      <c r="F553" s="8" t="s">
        <v>3558</v>
      </c>
      <c r="G553" s="6" t="s">
        <v>37</v>
      </c>
      <c r="H553" s="6" t="s">
        <v>470</v>
      </c>
      <c r="I553" s="8" t="s">
        <v>3559</v>
      </c>
      <c r="J553" s="9">
        <v>1</v>
      </c>
      <c r="K553" s="9">
        <v>136</v>
      </c>
      <c r="L553" s="9">
        <v>2018</v>
      </c>
      <c r="M553" s="8" t="s">
        <v>3560</v>
      </c>
      <c r="N553" s="8" t="s">
        <v>41</v>
      </c>
      <c r="O553" s="8" t="s">
        <v>65</v>
      </c>
      <c r="P553" s="6" t="s">
        <v>960</v>
      </c>
      <c r="Q553" s="8" t="s">
        <v>56</v>
      </c>
      <c r="R553" s="10" t="s">
        <v>3561</v>
      </c>
      <c r="S553" s="11"/>
      <c r="T553" s="6"/>
      <c r="U553" s="28" t="str">
        <f>HYPERLINK("https://media.infra-m.ru/0926/0926578/cover/926578.jpg", "Обложка")</f>
        <v>Обложка</v>
      </c>
      <c r="V553" s="28" t="str">
        <f>HYPERLINK("https://znanium.ru/catalog/product/2108587", "Ознакомиться")</f>
        <v>Ознакомиться</v>
      </c>
      <c r="W553" s="8" t="s">
        <v>140</v>
      </c>
      <c r="X553" s="6"/>
      <c r="Y553" s="6"/>
      <c r="Z553" s="6"/>
      <c r="AA553" s="6" t="s">
        <v>364</v>
      </c>
    </row>
    <row r="554" spans="1:27" s="4" customFormat="1" ht="51.95" customHeight="1">
      <c r="A554" s="5">
        <v>0</v>
      </c>
      <c r="B554" s="6" t="s">
        <v>3562</v>
      </c>
      <c r="C554" s="7">
        <v>1870</v>
      </c>
      <c r="D554" s="8" t="s">
        <v>3563</v>
      </c>
      <c r="E554" s="8" t="s">
        <v>3564</v>
      </c>
      <c r="F554" s="8" t="s">
        <v>3565</v>
      </c>
      <c r="G554" s="6" t="s">
        <v>123</v>
      </c>
      <c r="H554" s="6" t="s">
        <v>725</v>
      </c>
      <c r="I554" s="8"/>
      <c r="J554" s="9">
        <v>1</v>
      </c>
      <c r="K554" s="9">
        <v>416</v>
      </c>
      <c r="L554" s="9">
        <v>2023</v>
      </c>
      <c r="M554" s="8" t="s">
        <v>3566</v>
      </c>
      <c r="N554" s="8" t="s">
        <v>41</v>
      </c>
      <c r="O554" s="8" t="s">
        <v>65</v>
      </c>
      <c r="P554" s="6" t="s">
        <v>176</v>
      </c>
      <c r="Q554" s="8" t="s">
        <v>594</v>
      </c>
      <c r="R554" s="10" t="s">
        <v>3567</v>
      </c>
      <c r="S554" s="11" t="s">
        <v>3568</v>
      </c>
      <c r="T554" s="6"/>
      <c r="U554" s="28" t="str">
        <f>HYPERLINK("https://media.infra-m.ru/1915/1915795/cover/1915795.jpg", "Обложка")</f>
        <v>Обложка</v>
      </c>
      <c r="V554" s="28" t="str">
        <f>HYPERLINK("https://znanium.ru/catalog/product/1915795", "Ознакомиться")</f>
        <v>Ознакомиться</v>
      </c>
      <c r="W554" s="8" t="s">
        <v>3569</v>
      </c>
      <c r="X554" s="6"/>
      <c r="Y554" s="6"/>
      <c r="Z554" s="6"/>
      <c r="AA554" s="6" t="s">
        <v>290</v>
      </c>
    </row>
    <row r="555" spans="1:27" s="4" customFormat="1" ht="42" customHeight="1">
      <c r="A555" s="5">
        <v>0</v>
      </c>
      <c r="B555" s="6" t="s">
        <v>3570</v>
      </c>
      <c r="C555" s="13">
        <v>790</v>
      </c>
      <c r="D555" s="8" t="s">
        <v>3571</v>
      </c>
      <c r="E555" s="8" t="s">
        <v>3572</v>
      </c>
      <c r="F555" s="8" t="s">
        <v>3573</v>
      </c>
      <c r="G555" s="6" t="s">
        <v>37</v>
      </c>
      <c r="H555" s="6" t="s">
        <v>38</v>
      </c>
      <c r="I555" s="8" t="s">
        <v>39</v>
      </c>
      <c r="J555" s="9">
        <v>1</v>
      </c>
      <c r="K555" s="9">
        <v>195</v>
      </c>
      <c r="L555" s="9">
        <v>2022</v>
      </c>
      <c r="M555" s="8" t="s">
        <v>3574</v>
      </c>
      <c r="N555" s="8" t="s">
        <v>74</v>
      </c>
      <c r="O555" s="8" t="s">
        <v>93</v>
      </c>
      <c r="P555" s="6" t="s">
        <v>43</v>
      </c>
      <c r="Q555" s="8" t="s">
        <v>44</v>
      </c>
      <c r="R555" s="10" t="s">
        <v>1710</v>
      </c>
      <c r="S555" s="11"/>
      <c r="T555" s="6"/>
      <c r="U555" s="28" t="str">
        <f>HYPERLINK("https://media.infra-m.ru/1843/1843230/cover/1843230.jpg", "Обложка")</f>
        <v>Обложка</v>
      </c>
      <c r="V555" s="28" t="str">
        <f>HYPERLINK("https://znanium.ru/catalog/product/1843230", "Ознакомиться")</f>
        <v>Ознакомиться</v>
      </c>
      <c r="W555" s="8" t="s">
        <v>1852</v>
      </c>
      <c r="X555" s="6"/>
      <c r="Y555" s="6"/>
      <c r="Z555" s="6"/>
      <c r="AA555" s="6" t="s">
        <v>103</v>
      </c>
    </row>
    <row r="556" spans="1:27" s="4" customFormat="1" ht="44.1" customHeight="1">
      <c r="A556" s="5">
        <v>0</v>
      </c>
      <c r="B556" s="6" t="s">
        <v>3575</v>
      </c>
      <c r="C556" s="13">
        <v>790</v>
      </c>
      <c r="D556" s="8" t="s">
        <v>3576</v>
      </c>
      <c r="E556" s="8" t="s">
        <v>3577</v>
      </c>
      <c r="F556" s="8" t="s">
        <v>3578</v>
      </c>
      <c r="G556" s="6" t="s">
        <v>37</v>
      </c>
      <c r="H556" s="6" t="s">
        <v>38</v>
      </c>
      <c r="I556" s="8" t="s">
        <v>39</v>
      </c>
      <c r="J556" s="9">
        <v>1</v>
      </c>
      <c r="K556" s="9">
        <v>170</v>
      </c>
      <c r="L556" s="9">
        <v>2024</v>
      </c>
      <c r="M556" s="8" t="s">
        <v>3579</v>
      </c>
      <c r="N556" s="8" t="s">
        <v>74</v>
      </c>
      <c r="O556" s="8" t="s">
        <v>75</v>
      </c>
      <c r="P556" s="6" t="s">
        <v>43</v>
      </c>
      <c r="Q556" s="8" t="s">
        <v>44</v>
      </c>
      <c r="R556" s="10" t="s">
        <v>3580</v>
      </c>
      <c r="S556" s="11"/>
      <c r="T556" s="6"/>
      <c r="U556" s="28" t="str">
        <f>HYPERLINK("https://media.infra-m.ru/2052/2052398/cover/2052398.jpg", "Обложка")</f>
        <v>Обложка</v>
      </c>
      <c r="V556" s="28" t="str">
        <f>HYPERLINK("https://znanium.ru/catalog/product/2052398", "Ознакомиться")</f>
        <v>Ознакомиться</v>
      </c>
      <c r="W556" s="8" t="s">
        <v>3401</v>
      </c>
      <c r="X556" s="6"/>
      <c r="Y556" s="6"/>
      <c r="Z556" s="6"/>
      <c r="AA556" s="6" t="s">
        <v>193</v>
      </c>
    </row>
    <row r="557" spans="1:27" s="4" customFormat="1" ht="51.95" customHeight="1">
      <c r="A557" s="5">
        <v>0</v>
      </c>
      <c r="B557" s="6" t="s">
        <v>3581</v>
      </c>
      <c r="C557" s="13">
        <v>580</v>
      </c>
      <c r="D557" s="8" t="s">
        <v>3582</v>
      </c>
      <c r="E557" s="8" t="s">
        <v>3583</v>
      </c>
      <c r="F557" s="8" t="s">
        <v>3584</v>
      </c>
      <c r="G557" s="6" t="s">
        <v>37</v>
      </c>
      <c r="H557" s="6" t="s">
        <v>38</v>
      </c>
      <c r="I557" s="8" t="s">
        <v>39</v>
      </c>
      <c r="J557" s="9">
        <v>1</v>
      </c>
      <c r="K557" s="9">
        <v>118</v>
      </c>
      <c r="L557" s="9">
        <v>2024</v>
      </c>
      <c r="M557" s="8" t="s">
        <v>3585</v>
      </c>
      <c r="N557" s="8" t="s">
        <v>74</v>
      </c>
      <c r="O557" s="8" t="s">
        <v>93</v>
      </c>
      <c r="P557" s="6" t="s">
        <v>43</v>
      </c>
      <c r="Q557" s="8" t="s">
        <v>44</v>
      </c>
      <c r="R557" s="10" t="s">
        <v>3586</v>
      </c>
      <c r="S557" s="11"/>
      <c r="T557" s="6"/>
      <c r="U557" s="28" t="str">
        <f>HYPERLINK("https://media.infra-m.ru/2119/2119966/cover/2119966.jpg", "Обложка")</f>
        <v>Обложка</v>
      </c>
      <c r="V557" s="28" t="str">
        <f>HYPERLINK("https://znanium.ru/catalog/product/2119966", "Ознакомиться")</f>
        <v>Ознакомиться</v>
      </c>
      <c r="W557" s="8" t="s">
        <v>355</v>
      </c>
      <c r="X557" s="6"/>
      <c r="Y557" s="6"/>
      <c r="Z557" s="6"/>
      <c r="AA557" s="6" t="s">
        <v>364</v>
      </c>
    </row>
    <row r="558" spans="1:27" s="4" customFormat="1" ht="51.95" customHeight="1">
      <c r="A558" s="5">
        <v>0</v>
      </c>
      <c r="B558" s="6" t="s">
        <v>3587</v>
      </c>
      <c r="C558" s="7">
        <v>1340</v>
      </c>
      <c r="D558" s="8" t="s">
        <v>3588</v>
      </c>
      <c r="E558" s="8" t="s">
        <v>3589</v>
      </c>
      <c r="F558" s="8" t="s">
        <v>3590</v>
      </c>
      <c r="G558" s="6" t="s">
        <v>37</v>
      </c>
      <c r="H558" s="6" t="s">
        <v>317</v>
      </c>
      <c r="I558" s="8" t="s">
        <v>39</v>
      </c>
      <c r="J558" s="9">
        <v>1</v>
      </c>
      <c r="K558" s="9">
        <v>298</v>
      </c>
      <c r="L558" s="9">
        <v>2023</v>
      </c>
      <c r="M558" s="8" t="s">
        <v>3591</v>
      </c>
      <c r="N558" s="8" t="s">
        <v>41</v>
      </c>
      <c r="O558" s="8" t="s">
        <v>54</v>
      </c>
      <c r="P558" s="6" t="s">
        <v>43</v>
      </c>
      <c r="Q558" s="8" t="s">
        <v>44</v>
      </c>
      <c r="R558" s="10" t="s">
        <v>3592</v>
      </c>
      <c r="S558" s="11"/>
      <c r="T558" s="6"/>
      <c r="U558" s="28" t="str">
        <f>HYPERLINK("https://media.infra-m.ru/1919/1919452/cover/1919452.jpg", "Обложка")</f>
        <v>Обложка</v>
      </c>
      <c r="V558" s="28" t="str">
        <f>HYPERLINK("https://znanium.ru/catalog/product/1919452", "Ознакомиться")</f>
        <v>Ознакомиться</v>
      </c>
      <c r="W558" s="8" t="s">
        <v>95</v>
      </c>
      <c r="X558" s="6"/>
      <c r="Y558" s="6"/>
      <c r="Z558" s="6"/>
      <c r="AA558" s="6" t="s">
        <v>290</v>
      </c>
    </row>
    <row r="559" spans="1:27" s="4" customFormat="1" ht="51.95" customHeight="1">
      <c r="A559" s="5">
        <v>0</v>
      </c>
      <c r="B559" s="6" t="s">
        <v>3593</v>
      </c>
      <c r="C559" s="7">
        <v>1464</v>
      </c>
      <c r="D559" s="8" t="s">
        <v>3594</v>
      </c>
      <c r="E559" s="8" t="s">
        <v>3595</v>
      </c>
      <c r="F559" s="8" t="s">
        <v>3590</v>
      </c>
      <c r="G559" s="6" t="s">
        <v>37</v>
      </c>
      <c r="H559" s="6" t="s">
        <v>38</v>
      </c>
      <c r="I559" s="8" t="s">
        <v>39</v>
      </c>
      <c r="J559" s="9">
        <v>1</v>
      </c>
      <c r="K559" s="9">
        <v>324</v>
      </c>
      <c r="L559" s="9">
        <v>2023</v>
      </c>
      <c r="M559" s="8" t="s">
        <v>3596</v>
      </c>
      <c r="N559" s="8" t="s">
        <v>74</v>
      </c>
      <c r="O559" s="8" t="s">
        <v>93</v>
      </c>
      <c r="P559" s="6" t="s">
        <v>43</v>
      </c>
      <c r="Q559" s="8" t="s">
        <v>44</v>
      </c>
      <c r="R559" s="10" t="s">
        <v>3597</v>
      </c>
      <c r="S559" s="11"/>
      <c r="T559" s="6"/>
      <c r="U559" s="28" t="str">
        <f>HYPERLINK("https://media.infra-m.ru/2024/2024013/cover/2024013.jpg", "Обложка")</f>
        <v>Обложка</v>
      </c>
      <c r="V559" s="28" t="str">
        <f>HYPERLINK("https://znanium.ru/catalog/product/1901925", "Ознакомиться")</f>
        <v>Ознакомиться</v>
      </c>
      <c r="W559" s="8" t="s">
        <v>95</v>
      </c>
      <c r="X559" s="6"/>
      <c r="Y559" s="6"/>
      <c r="Z559" s="6"/>
      <c r="AA559" s="6" t="s">
        <v>193</v>
      </c>
    </row>
    <row r="560" spans="1:27" s="4" customFormat="1" ht="51.95" customHeight="1">
      <c r="A560" s="5">
        <v>0</v>
      </c>
      <c r="B560" s="6" t="s">
        <v>3598</v>
      </c>
      <c r="C560" s="13">
        <v>644.9</v>
      </c>
      <c r="D560" s="8" t="s">
        <v>3599</v>
      </c>
      <c r="E560" s="8" t="s">
        <v>3600</v>
      </c>
      <c r="F560" s="8" t="s">
        <v>1880</v>
      </c>
      <c r="G560" s="6" t="s">
        <v>37</v>
      </c>
      <c r="H560" s="6" t="s">
        <v>317</v>
      </c>
      <c r="I560" s="8" t="s">
        <v>39</v>
      </c>
      <c r="J560" s="9">
        <v>1</v>
      </c>
      <c r="K560" s="9">
        <v>189</v>
      </c>
      <c r="L560" s="9">
        <v>2019</v>
      </c>
      <c r="M560" s="8" t="s">
        <v>3601</v>
      </c>
      <c r="N560" s="8" t="s">
        <v>41</v>
      </c>
      <c r="O560" s="8" t="s">
        <v>65</v>
      </c>
      <c r="P560" s="6" t="s">
        <v>43</v>
      </c>
      <c r="Q560" s="8" t="s">
        <v>44</v>
      </c>
      <c r="R560" s="10" t="s">
        <v>3602</v>
      </c>
      <c r="S560" s="11"/>
      <c r="T560" s="6"/>
      <c r="U560" s="28" t="str">
        <f>HYPERLINK("https://media.infra-m.ru/1002/1002716/cover/1002716.jpg", "Обложка")</f>
        <v>Обложка</v>
      </c>
      <c r="V560" s="28" t="str">
        <f>HYPERLINK("https://znanium.ru/catalog/product/1002716", "Ознакомиться")</f>
        <v>Ознакомиться</v>
      </c>
      <c r="W560" s="8" t="s">
        <v>1883</v>
      </c>
      <c r="X560" s="6"/>
      <c r="Y560" s="6"/>
      <c r="Z560" s="6"/>
      <c r="AA560" s="6" t="s">
        <v>96</v>
      </c>
    </row>
    <row r="561" spans="1:27" s="4" customFormat="1" ht="44.1" customHeight="1">
      <c r="A561" s="5">
        <v>0</v>
      </c>
      <c r="B561" s="6" t="s">
        <v>3603</v>
      </c>
      <c r="C561" s="13">
        <v>724.9</v>
      </c>
      <c r="D561" s="8" t="s">
        <v>3604</v>
      </c>
      <c r="E561" s="8" t="s">
        <v>3605</v>
      </c>
      <c r="F561" s="8" t="s">
        <v>1313</v>
      </c>
      <c r="G561" s="6" t="s">
        <v>123</v>
      </c>
      <c r="H561" s="6" t="s">
        <v>618</v>
      </c>
      <c r="I561" s="8" t="s">
        <v>1314</v>
      </c>
      <c r="J561" s="9">
        <v>1</v>
      </c>
      <c r="K561" s="9">
        <v>192</v>
      </c>
      <c r="L561" s="9">
        <v>2022</v>
      </c>
      <c r="M561" s="8" t="s">
        <v>3606</v>
      </c>
      <c r="N561" s="8" t="s">
        <v>41</v>
      </c>
      <c r="O561" s="8" t="s">
        <v>65</v>
      </c>
      <c r="P561" s="6" t="s">
        <v>55</v>
      </c>
      <c r="Q561" s="8" t="s">
        <v>56</v>
      </c>
      <c r="R561" s="10" t="s">
        <v>3607</v>
      </c>
      <c r="S561" s="11"/>
      <c r="T561" s="6"/>
      <c r="U561" s="28" t="str">
        <f>HYPERLINK("https://media.infra-m.ru/1853/1853514/cover/1853514.jpg", "Обложка")</f>
        <v>Обложка</v>
      </c>
      <c r="V561" s="28" t="str">
        <f>HYPERLINK("https://znanium.ru/catalog/product/1853514", "Ознакомиться")</f>
        <v>Ознакомиться</v>
      </c>
      <c r="W561" s="8" t="s">
        <v>1028</v>
      </c>
      <c r="X561" s="6"/>
      <c r="Y561" s="6"/>
      <c r="Z561" s="6"/>
      <c r="AA561" s="6" t="s">
        <v>290</v>
      </c>
    </row>
    <row r="562" spans="1:27" s="4" customFormat="1" ht="51.95" customHeight="1">
      <c r="A562" s="5">
        <v>0</v>
      </c>
      <c r="B562" s="6" t="s">
        <v>3608</v>
      </c>
      <c r="C562" s="13">
        <v>854</v>
      </c>
      <c r="D562" s="8" t="s">
        <v>3609</v>
      </c>
      <c r="E562" s="8" t="s">
        <v>3610</v>
      </c>
      <c r="F562" s="8" t="s">
        <v>872</v>
      </c>
      <c r="G562" s="6" t="s">
        <v>123</v>
      </c>
      <c r="H562" s="6" t="s">
        <v>38</v>
      </c>
      <c r="I562" s="8" t="s">
        <v>164</v>
      </c>
      <c r="J562" s="9">
        <v>1</v>
      </c>
      <c r="K562" s="9">
        <v>188</v>
      </c>
      <c r="L562" s="9">
        <v>2023</v>
      </c>
      <c r="M562" s="8" t="s">
        <v>3611</v>
      </c>
      <c r="N562" s="8" t="s">
        <v>74</v>
      </c>
      <c r="O562" s="8" t="s">
        <v>394</v>
      </c>
      <c r="P562" s="6" t="s">
        <v>55</v>
      </c>
      <c r="Q562" s="8" t="s">
        <v>56</v>
      </c>
      <c r="R562" s="10" t="s">
        <v>1062</v>
      </c>
      <c r="S562" s="11" t="s">
        <v>3612</v>
      </c>
      <c r="T562" s="6"/>
      <c r="U562" s="28" t="str">
        <f>HYPERLINK("https://media.infra-m.ru/2021/2021463/cover/2021463.jpg", "Обложка")</f>
        <v>Обложка</v>
      </c>
      <c r="V562" s="28" t="str">
        <f>HYPERLINK("https://znanium.ru/catalog/product/997136", "Ознакомиться")</f>
        <v>Ознакомиться</v>
      </c>
      <c r="W562" s="8"/>
      <c r="X562" s="6"/>
      <c r="Y562" s="6"/>
      <c r="Z562" s="6"/>
      <c r="AA562" s="6" t="s">
        <v>193</v>
      </c>
    </row>
    <row r="563" spans="1:27" s="4" customFormat="1" ht="42" customHeight="1">
      <c r="A563" s="5">
        <v>0</v>
      </c>
      <c r="B563" s="6" t="s">
        <v>3613</v>
      </c>
      <c r="C563" s="7">
        <v>2734</v>
      </c>
      <c r="D563" s="8" t="s">
        <v>3614</v>
      </c>
      <c r="E563" s="8" t="s">
        <v>3615</v>
      </c>
      <c r="F563" s="8" t="s">
        <v>3616</v>
      </c>
      <c r="G563" s="6" t="s">
        <v>83</v>
      </c>
      <c r="H563" s="6" t="s">
        <v>38</v>
      </c>
      <c r="I563" s="8" t="s">
        <v>39</v>
      </c>
      <c r="J563" s="9">
        <v>1</v>
      </c>
      <c r="K563" s="9">
        <v>593</v>
      </c>
      <c r="L563" s="9">
        <v>2024</v>
      </c>
      <c r="M563" s="8" t="s">
        <v>3617</v>
      </c>
      <c r="N563" s="8" t="s">
        <v>41</v>
      </c>
      <c r="O563" s="8" t="s">
        <v>65</v>
      </c>
      <c r="P563" s="6" t="s">
        <v>43</v>
      </c>
      <c r="Q563" s="8" t="s">
        <v>44</v>
      </c>
      <c r="R563" s="10" t="s">
        <v>1124</v>
      </c>
      <c r="S563" s="11"/>
      <c r="T563" s="6"/>
      <c r="U563" s="28" t="str">
        <f>HYPERLINK("https://media.infra-m.ru/2080/2080492/cover/2080492.jpg", "Обложка")</f>
        <v>Обложка</v>
      </c>
      <c r="V563" s="28" t="str">
        <f>HYPERLINK("https://znanium.ru/catalog/product/2072433", "Ознакомиться")</f>
        <v>Ознакомиться</v>
      </c>
      <c r="W563" s="8" t="s">
        <v>210</v>
      </c>
      <c r="X563" s="6"/>
      <c r="Y563" s="6"/>
      <c r="Z563" s="6"/>
      <c r="AA563" s="6" t="s">
        <v>141</v>
      </c>
    </row>
    <row r="564" spans="1:27" s="4" customFormat="1" ht="51.95" customHeight="1">
      <c r="A564" s="5">
        <v>0</v>
      </c>
      <c r="B564" s="6" t="s">
        <v>3618</v>
      </c>
      <c r="C564" s="13">
        <v>990</v>
      </c>
      <c r="D564" s="8" t="s">
        <v>3619</v>
      </c>
      <c r="E564" s="8" t="s">
        <v>3620</v>
      </c>
      <c r="F564" s="8" t="s">
        <v>3621</v>
      </c>
      <c r="G564" s="6" t="s">
        <v>37</v>
      </c>
      <c r="H564" s="6" t="s">
        <v>38</v>
      </c>
      <c r="I564" s="8" t="s">
        <v>39</v>
      </c>
      <c r="J564" s="9">
        <v>1</v>
      </c>
      <c r="K564" s="9">
        <v>210</v>
      </c>
      <c r="L564" s="9">
        <v>2024</v>
      </c>
      <c r="M564" s="8" t="s">
        <v>3622</v>
      </c>
      <c r="N564" s="8" t="s">
        <v>41</v>
      </c>
      <c r="O564" s="8" t="s">
        <v>65</v>
      </c>
      <c r="P564" s="6" t="s">
        <v>43</v>
      </c>
      <c r="Q564" s="8" t="s">
        <v>44</v>
      </c>
      <c r="R564" s="10" t="s">
        <v>3623</v>
      </c>
      <c r="S564" s="11"/>
      <c r="T564" s="6"/>
      <c r="U564" s="28" t="str">
        <f>HYPERLINK("https://media.infra-m.ru/2019/2019750/cover/2019750.jpg", "Обложка")</f>
        <v>Обложка</v>
      </c>
      <c r="V564" s="28" t="str">
        <f>HYPERLINK("https://znanium.ru/catalog/product/2019750", "Ознакомиться")</f>
        <v>Ознакомиться</v>
      </c>
      <c r="W564" s="8" t="s">
        <v>140</v>
      </c>
      <c r="X564" s="6"/>
      <c r="Y564" s="6"/>
      <c r="Z564" s="6"/>
      <c r="AA564" s="6" t="s">
        <v>141</v>
      </c>
    </row>
    <row r="565" spans="1:27" s="4" customFormat="1" ht="42" customHeight="1">
      <c r="A565" s="5">
        <v>0</v>
      </c>
      <c r="B565" s="6" t="s">
        <v>3624</v>
      </c>
      <c r="C565" s="7">
        <v>1237.9000000000001</v>
      </c>
      <c r="D565" s="8" t="s">
        <v>3625</v>
      </c>
      <c r="E565" s="8" t="s">
        <v>3626</v>
      </c>
      <c r="F565" s="8" t="s">
        <v>3627</v>
      </c>
      <c r="G565" s="6" t="s">
        <v>123</v>
      </c>
      <c r="H565" s="6" t="s">
        <v>618</v>
      </c>
      <c r="I565" s="8"/>
      <c r="J565" s="9">
        <v>1</v>
      </c>
      <c r="K565" s="9">
        <v>304</v>
      </c>
      <c r="L565" s="9">
        <v>2020</v>
      </c>
      <c r="M565" s="8" t="s">
        <v>3628</v>
      </c>
      <c r="N565" s="8" t="s">
        <v>41</v>
      </c>
      <c r="O565" s="8" t="s">
        <v>65</v>
      </c>
      <c r="P565" s="6" t="s">
        <v>43</v>
      </c>
      <c r="Q565" s="8" t="s">
        <v>44</v>
      </c>
      <c r="R565" s="10" t="s">
        <v>3629</v>
      </c>
      <c r="S565" s="11"/>
      <c r="T565" s="6"/>
      <c r="U565" s="28" t="str">
        <f>HYPERLINK("https://media.infra-m.ru/1160/1160948/cover/1160948.jpg", "Обложка")</f>
        <v>Обложка</v>
      </c>
      <c r="V565" s="28" t="str">
        <f>HYPERLINK("https://znanium.ru/catalog/product/1877349", "Ознакомиться")</f>
        <v>Ознакомиться</v>
      </c>
      <c r="W565" s="8" t="s">
        <v>1592</v>
      </c>
      <c r="X565" s="6"/>
      <c r="Y565" s="6"/>
      <c r="Z565" s="6"/>
      <c r="AA565" s="6" t="s">
        <v>141</v>
      </c>
    </row>
    <row r="566" spans="1:27" s="4" customFormat="1" ht="51.95" customHeight="1">
      <c r="A566" s="5">
        <v>0</v>
      </c>
      <c r="B566" s="6" t="s">
        <v>3630</v>
      </c>
      <c r="C566" s="7">
        <v>1050</v>
      </c>
      <c r="D566" s="8" t="s">
        <v>3631</v>
      </c>
      <c r="E566" s="8" t="s">
        <v>3632</v>
      </c>
      <c r="F566" s="8" t="s">
        <v>3633</v>
      </c>
      <c r="G566" s="6" t="s">
        <v>37</v>
      </c>
      <c r="H566" s="6" t="s">
        <v>38</v>
      </c>
      <c r="I566" s="8" t="s">
        <v>39</v>
      </c>
      <c r="J566" s="9">
        <v>1</v>
      </c>
      <c r="K566" s="9">
        <v>232</v>
      </c>
      <c r="L566" s="9">
        <v>2023</v>
      </c>
      <c r="M566" s="8" t="s">
        <v>3634</v>
      </c>
      <c r="N566" s="8" t="s">
        <v>41</v>
      </c>
      <c r="O566" s="8" t="s">
        <v>54</v>
      </c>
      <c r="P566" s="6" t="s">
        <v>43</v>
      </c>
      <c r="Q566" s="8" t="s">
        <v>44</v>
      </c>
      <c r="R566" s="10" t="s">
        <v>3635</v>
      </c>
      <c r="S566" s="11"/>
      <c r="T566" s="6"/>
      <c r="U566" s="28" t="str">
        <f>HYPERLINK("https://media.infra-m.ru/2005/2005201/cover/2005201.jpg", "Обложка")</f>
        <v>Обложка</v>
      </c>
      <c r="V566" s="28" t="str">
        <f>HYPERLINK("https://znanium.ru/catalog/product/2005201", "Ознакомиться")</f>
        <v>Ознакомиться</v>
      </c>
      <c r="W566" s="8" t="s">
        <v>1579</v>
      </c>
      <c r="X566" s="6"/>
      <c r="Y566" s="6"/>
      <c r="Z566" s="6"/>
      <c r="AA566" s="6" t="s">
        <v>59</v>
      </c>
    </row>
    <row r="567" spans="1:27" s="4" customFormat="1" ht="51.95" customHeight="1">
      <c r="A567" s="5">
        <v>0</v>
      </c>
      <c r="B567" s="6" t="s">
        <v>3636</v>
      </c>
      <c r="C567" s="13">
        <v>754</v>
      </c>
      <c r="D567" s="8" t="s">
        <v>3637</v>
      </c>
      <c r="E567" s="8" t="s">
        <v>3638</v>
      </c>
      <c r="F567" s="8" t="s">
        <v>3639</v>
      </c>
      <c r="G567" s="6" t="s">
        <v>26</v>
      </c>
      <c r="H567" s="6" t="s">
        <v>317</v>
      </c>
      <c r="I567" s="8" t="s">
        <v>164</v>
      </c>
      <c r="J567" s="9">
        <v>1</v>
      </c>
      <c r="K567" s="9">
        <v>239</v>
      </c>
      <c r="L567" s="9">
        <v>2024</v>
      </c>
      <c r="M567" s="8" t="s">
        <v>3640</v>
      </c>
      <c r="N567" s="8" t="s">
        <v>41</v>
      </c>
      <c r="O567" s="8" t="s">
        <v>42</v>
      </c>
      <c r="P567" s="6" t="s">
        <v>55</v>
      </c>
      <c r="Q567" s="8" t="s">
        <v>56</v>
      </c>
      <c r="R567" s="10" t="s">
        <v>3641</v>
      </c>
      <c r="S567" s="11"/>
      <c r="T567" s="6"/>
      <c r="U567" s="28" t="str">
        <f>HYPERLINK("https://media.infra-m.ru/1850/1850678/cover/1850678.jpg", "Обложка")</f>
        <v>Обложка</v>
      </c>
      <c r="V567" s="28" t="str">
        <f>HYPERLINK("https://znanium.ru/catalog/product/431381", "Ознакомиться")</f>
        <v>Ознакомиться</v>
      </c>
      <c r="W567" s="8" t="s">
        <v>3642</v>
      </c>
      <c r="X567" s="6"/>
      <c r="Y567" s="6"/>
      <c r="Z567" s="6"/>
      <c r="AA567" s="6" t="s">
        <v>635</v>
      </c>
    </row>
    <row r="568" spans="1:27" s="4" customFormat="1" ht="51.95" customHeight="1">
      <c r="A568" s="5">
        <v>0</v>
      </c>
      <c r="B568" s="6" t="s">
        <v>3643</v>
      </c>
      <c r="C568" s="13">
        <v>994</v>
      </c>
      <c r="D568" s="8" t="s">
        <v>3644</v>
      </c>
      <c r="E568" s="8" t="s">
        <v>3645</v>
      </c>
      <c r="F568" s="8" t="s">
        <v>3646</v>
      </c>
      <c r="G568" s="6" t="s">
        <v>123</v>
      </c>
      <c r="H568" s="6" t="s">
        <v>470</v>
      </c>
      <c r="I568" s="8"/>
      <c r="J568" s="9">
        <v>1</v>
      </c>
      <c r="K568" s="9">
        <v>216</v>
      </c>
      <c r="L568" s="9">
        <v>2024</v>
      </c>
      <c r="M568" s="8" t="s">
        <v>3647</v>
      </c>
      <c r="N568" s="8" t="s">
        <v>41</v>
      </c>
      <c r="O568" s="8" t="s">
        <v>42</v>
      </c>
      <c r="P568" s="6" t="s">
        <v>976</v>
      </c>
      <c r="Q568" s="8" t="s">
        <v>44</v>
      </c>
      <c r="R568" s="10" t="s">
        <v>3648</v>
      </c>
      <c r="S568" s="11"/>
      <c r="T568" s="6"/>
      <c r="U568" s="12"/>
      <c r="V568" s="28" t="str">
        <f>HYPERLINK("https://znanium.ru/catalog/product/1851659", "Ознакомиться")</f>
        <v>Ознакомиться</v>
      </c>
      <c r="W568" s="8" t="s">
        <v>140</v>
      </c>
      <c r="X568" s="6"/>
      <c r="Y568" s="6"/>
      <c r="Z568" s="6"/>
      <c r="AA568" s="6" t="s">
        <v>290</v>
      </c>
    </row>
    <row r="569" spans="1:27" s="4" customFormat="1" ht="42" customHeight="1">
      <c r="A569" s="5">
        <v>0</v>
      </c>
      <c r="B569" s="6" t="s">
        <v>3649</v>
      </c>
      <c r="C569" s="7">
        <v>1790</v>
      </c>
      <c r="D569" s="8" t="s">
        <v>3650</v>
      </c>
      <c r="E569" s="8" t="s">
        <v>3651</v>
      </c>
      <c r="F569" s="8" t="s">
        <v>3652</v>
      </c>
      <c r="G569" s="6" t="s">
        <v>37</v>
      </c>
      <c r="H569" s="6" t="s">
        <v>470</v>
      </c>
      <c r="I569" s="8"/>
      <c r="J569" s="9">
        <v>1</v>
      </c>
      <c r="K569" s="9">
        <v>266</v>
      </c>
      <c r="L569" s="9">
        <v>2020</v>
      </c>
      <c r="M569" s="8" t="s">
        <v>3653</v>
      </c>
      <c r="N569" s="8" t="s">
        <v>74</v>
      </c>
      <c r="O569" s="8" t="s">
        <v>75</v>
      </c>
      <c r="P569" s="6" t="s">
        <v>55</v>
      </c>
      <c r="Q569" s="8" t="s">
        <v>56</v>
      </c>
      <c r="R569" s="10" t="s">
        <v>3654</v>
      </c>
      <c r="S569" s="11"/>
      <c r="T569" s="6" t="s">
        <v>190</v>
      </c>
      <c r="U569" s="28" t="str">
        <f>HYPERLINK("https://media.infra-m.ru/1044/1044515/cover/1044515.jpg", "Обложка")</f>
        <v>Обложка</v>
      </c>
      <c r="V569" s="28" t="str">
        <f>HYPERLINK("https://znanium.ru/catalog/product/1044515", "Ознакомиться")</f>
        <v>Ознакомиться</v>
      </c>
      <c r="W569" s="8" t="s">
        <v>149</v>
      </c>
      <c r="X569" s="6"/>
      <c r="Y569" s="6"/>
      <c r="Z569" s="6"/>
      <c r="AA569" s="6" t="s">
        <v>3165</v>
      </c>
    </row>
    <row r="570" spans="1:27" s="4" customFormat="1" ht="42" customHeight="1">
      <c r="A570" s="5">
        <v>0</v>
      </c>
      <c r="B570" s="6" t="s">
        <v>3655</v>
      </c>
      <c r="C570" s="13">
        <v>950</v>
      </c>
      <c r="D570" s="8" t="s">
        <v>3656</v>
      </c>
      <c r="E570" s="8" t="s">
        <v>3657</v>
      </c>
      <c r="F570" s="8" t="s">
        <v>3658</v>
      </c>
      <c r="G570" s="6" t="s">
        <v>37</v>
      </c>
      <c r="H570" s="6" t="s">
        <v>38</v>
      </c>
      <c r="I570" s="8" t="s">
        <v>39</v>
      </c>
      <c r="J570" s="9">
        <v>1</v>
      </c>
      <c r="K570" s="9">
        <v>195</v>
      </c>
      <c r="L570" s="9">
        <v>2023</v>
      </c>
      <c r="M570" s="8" t="s">
        <v>3659</v>
      </c>
      <c r="N570" s="8" t="s">
        <v>74</v>
      </c>
      <c r="O570" s="8" t="s">
        <v>3660</v>
      </c>
      <c r="P570" s="6" t="s">
        <v>43</v>
      </c>
      <c r="Q570" s="8" t="s">
        <v>44</v>
      </c>
      <c r="R570" s="10" t="s">
        <v>3661</v>
      </c>
      <c r="S570" s="11"/>
      <c r="T570" s="6"/>
      <c r="U570" s="28" t="str">
        <f>HYPERLINK("https://media.infra-m.ru/2052/2052437/cover/2052437.jpg", "Обложка")</f>
        <v>Обложка</v>
      </c>
      <c r="V570" s="28" t="str">
        <f>HYPERLINK("https://znanium.ru/catalog/product/2052437", "Ознакомиться")</f>
        <v>Ознакомиться</v>
      </c>
      <c r="W570" s="8" t="s">
        <v>1105</v>
      </c>
      <c r="X570" s="6" t="s">
        <v>641</v>
      </c>
      <c r="Y570" s="6"/>
      <c r="Z570" s="6"/>
      <c r="AA570" s="6" t="s">
        <v>111</v>
      </c>
    </row>
    <row r="571" spans="1:27" s="4" customFormat="1" ht="51.95" customHeight="1">
      <c r="A571" s="5">
        <v>0</v>
      </c>
      <c r="B571" s="6" t="s">
        <v>3662</v>
      </c>
      <c r="C571" s="13">
        <v>770</v>
      </c>
      <c r="D571" s="8" t="s">
        <v>3663</v>
      </c>
      <c r="E571" s="8" t="s">
        <v>3664</v>
      </c>
      <c r="F571" s="8" t="s">
        <v>3665</v>
      </c>
      <c r="G571" s="6" t="s">
        <v>83</v>
      </c>
      <c r="H571" s="6" t="s">
        <v>38</v>
      </c>
      <c r="I571" s="8" t="s">
        <v>155</v>
      </c>
      <c r="J571" s="9">
        <v>1</v>
      </c>
      <c r="K571" s="9">
        <v>166</v>
      </c>
      <c r="L571" s="9">
        <v>2024</v>
      </c>
      <c r="M571" s="8" t="s">
        <v>3666</v>
      </c>
      <c r="N571" s="8" t="s">
        <v>74</v>
      </c>
      <c r="O571" s="8" t="s">
        <v>394</v>
      </c>
      <c r="P571" s="6" t="s">
        <v>1469</v>
      </c>
      <c r="Q571" s="8" t="s">
        <v>177</v>
      </c>
      <c r="R571" s="10" t="s">
        <v>3667</v>
      </c>
      <c r="S571" s="11" t="s">
        <v>3668</v>
      </c>
      <c r="T571" s="6"/>
      <c r="U571" s="28" t="str">
        <f>HYPERLINK("https://media.infra-m.ru/2111/2111911/cover/2111911.jpg", "Обложка")</f>
        <v>Обложка</v>
      </c>
      <c r="V571" s="28" t="str">
        <f>HYPERLINK("https://znanium.ru/catalog/product/2111911", "Ознакомиться")</f>
        <v>Ознакомиться</v>
      </c>
      <c r="W571" s="8" t="s">
        <v>159</v>
      </c>
      <c r="X571" s="6"/>
      <c r="Y571" s="6"/>
      <c r="Z571" s="6"/>
      <c r="AA571" s="6" t="s">
        <v>141</v>
      </c>
    </row>
    <row r="572" spans="1:27" s="4" customFormat="1" ht="51.95" customHeight="1">
      <c r="A572" s="5">
        <v>0</v>
      </c>
      <c r="B572" s="6" t="s">
        <v>3669</v>
      </c>
      <c r="C572" s="13">
        <v>610</v>
      </c>
      <c r="D572" s="8" t="s">
        <v>3670</v>
      </c>
      <c r="E572" s="8" t="s">
        <v>3664</v>
      </c>
      <c r="F572" s="8" t="s">
        <v>3665</v>
      </c>
      <c r="G572" s="6" t="s">
        <v>83</v>
      </c>
      <c r="H572" s="6" t="s">
        <v>38</v>
      </c>
      <c r="I572" s="8" t="s">
        <v>205</v>
      </c>
      <c r="J572" s="9">
        <v>1</v>
      </c>
      <c r="K572" s="9">
        <v>166</v>
      </c>
      <c r="L572" s="9">
        <v>2021</v>
      </c>
      <c r="M572" s="8" t="s">
        <v>3671</v>
      </c>
      <c r="N572" s="8" t="s">
        <v>74</v>
      </c>
      <c r="O572" s="8" t="s">
        <v>394</v>
      </c>
      <c r="P572" s="6" t="s">
        <v>1469</v>
      </c>
      <c r="Q572" s="8" t="s">
        <v>207</v>
      </c>
      <c r="R572" s="10" t="s">
        <v>3672</v>
      </c>
      <c r="S572" s="11" t="s">
        <v>3673</v>
      </c>
      <c r="T572" s="6"/>
      <c r="U572" s="28" t="str">
        <f>HYPERLINK("https://media.infra-m.ru/1203/1203960/cover/1203960.jpg", "Обложка")</f>
        <v>Обложка</v>
      </c>
      <c r="V572" s="28" t="str">
        <f>HYPERLINK("https://znanium.ru/catalog/product/1203960", "Ознакомиться")</f>
        <v>Ознакомиться</v>
      </c>
      <c r="W572" s="8" t="s">
        <v>159</v>
      </c>
      <c r="X572" s="6"/>
      <c r="Y572" s="6"/>
      <c r="Z572" s="6" t="s">
        <v>782</v>
      </c>
      <c r="AA572" s="6" t="s">
        <v>193</v>
      </c>
    </row>
    <row r="573" spans="1:27" s="4" customFormat="1" ht="51.95" customHeight="1">
      <c r="A573" s="5">
        <v>0</v>
      </c>
      <c r="B573" s="6" t="s">
        <v>3674</v>
      </c>
      <c r="C573" s="13">
        <v>840</v>
      </c>
      <c r="D573" s="8" t="s">
        <v>3675</v>
      </c>
      <c r="E573" s="8" t="s">
        <v>3676</v>
      </c>
      <c r="F573" s="8" t="s">
        <v>3677</v>
      </c>
      <c r="G573" s="6" t="s">
        <v>37</v>
      </c>
      <c r="H573" s="6" t="s">
        <v>38</v>
      </c>
      <c r="I573" s="8" t="s">
        <v>39</v>
      </c>
      <c r="J573" s="9">
        <v>1</v>
      </c>
      <c r="K573" s="9">
        <v>240</v>
      </c>
      <c r="L573" s="9">
        <v>2020</v>
      </c>
      <c r="M573" s="8" t="s">
        <v>3678</v>
      </c>
      <c r="N573" s="8" t="s">
        <v>74</v>
      </c>
      <c r="O573" s="8" t="s">
        <v>3660</v>
      </c>
      <c r="P573" s="6" t="s">
        <v>43</v>
      </c>
      <c r="Q573" s="8" t="s">
        <v>44</v>
      </c>
      <c r="R573" s="10" t="s">
        <v>3679</v>
      </c>
      <c r="S573" s="11"/>
      <c r="T573" s="6"/>
      <c r="U573" s="28" t="str">
        <f>HYPERLINK("https://media.infra-m.ru/1064/1064940/cover/1064940.jpg", "Обложка")</f>
        <v>Обложка</v>
      </c>
      <c r="V573" s="28" t="str">
        <f>HYPERLINK("https://znanium.ru/catalog/product/1064940", "Ознакомиться")</f>
        <v>Ознакомиться</v>
      </c>
      <c r="W573" s="8" t="s">
        <v>3680</v>
      </c>
      <c r="X573" s="6"/>
      <c r="Y573" s="6"/>
      <c r="Z573" s="6"/>
      <c r="AA573" s="6" t="s">
        <v>150</v>
      </c>
    </row>
    <row r="574" spans="1:27" s="4" customFormat="1" ht="51.95" customHeight="1">
      <c r="A574" s="5">
        <v>0</v>
      </c>
      <c r="B574" s="6" t="s">
        <v>3681</v>
      </c>
      <c r="C574" s="13">
        <v>560</v>
      </c>
      <c r="D574" s="8" t="s">
        <v>3682</v>
      </c>
      <c r="E574" s="8" t="s">
        <v>3683</v>
      </c>
      <c r="F574" s="8" t="s">
        <v>3684</v>
      </c>
      <c r="G574" s="6" t="s">
        <v>37</v>
      </c>
      <c r="H574" s="6" t="s">
        <v>38</v>
      </c>
      <c r="I574" s="8" t="s">
        <v>39</v>
      </c>
      <c r="J574" s="9">
        <v>1</v>
      </c>
      <c r="K574" s="9">
        <v>125</v>
      </c>
      <c r="L574" s="9">
        <v>2022</v>
      </c>
      <c r="M574" s="8" t="s">
        <v>3685</v>
      </c>
      <c r="N574" s="8" t="s">
        <v>74</v>
      </c>
      <c r="O574" s="8" t="s">
        <v>75</v>
      </c>
      <c r="P574" s="6" t="s">
        <v>43</v>
      </c>
      <c r="Q574" s="8" t="s">
        <v>44</v>
      </c>
      <c r="R574" s="10" t="s">
        <v>3686</v>
      </c>
      <c r="S574" s="11"/>
      <c r="T574" s="6"/>
      <c r="U574" s="28" t="str">
        <f>HYPERLINK("https://media.infra-m.ru/1851/1851553/cover/1851553.jpg", "Обложка")</f>
        <v>Обложка</v>
      </c>
      <c r="V574" s="28" t="str">
        <f>HYPERLINK("https://znanium.ru/catalog/product/1851553", "Ознакомиться")</f>
        <v>Ознакомиться</v>
      </c>
      <c r="W574" s="8"/>
      <c r="X574" s="6"/>
      <c r="Y574" s="6"/>
      <c r="Z574" s="6"/>
      <c r="AA574" s="6" t="s">
        <v>103</v>
      </c>
    </row>
    <row r="575" spans="1:27" s="4" customFormat="1" ht="42" customHeight="1">
      <c r="A575" s="5">
        <v>0</v>
      </c>
      <c r="B575" s="6" t="s">
        <v>3687</v>
      </c>
      <c r="C575" s="13">
        <v>534</v>
      </c>
      <c r="D575" s="8" t="s">
        <v>3688</v>
      </c>
      <c r="E575" s="8" t="s">
        <v>3689</v>
      </c>
      <c r="F575" s="8" t="s">
        <v>3690</v>
      </c>
      <c r="G575" s="6" t="s">
        <v>37</v>
      </c>
      <c r="H575" s="6" t="s">
        <v>38</v>
      </c>
      <c r="I575" s="8" t="s">
        <v>39</v>
      </c>
      <c r="J575" s="9">
        <v>1</v>
      </c>
      <c r="K575" s="9">
        <v>110</v>
      </c>
      <c r="L575" s="9">
        <v>2024</v>
      </c>
      <c r="M575" s="8" t="s">
        <v>3691</v>
      </c>
      <c r="N575" s="8" t="s">
        <v>74</v>
      </c>
      <c r="O575" s="8" t="s">
        <v>1559</v>
      </c>
      <c r="P575" s="6" t="s">
        <v>43</v>
      </c>
      <c r="Q575" s="8" t="s">
        <v>44</v>
      </c>
      <c r="R575" s="10" t="s">
        <v>3692</v>
      </c>
      <c r="S575" s="11"/>
      <c r="T575" s="6"/>
      <c r="U575" s="28" t="str">
        <f>HYPERLINK("https://media.infra-m.ru/2140/2140705/cover/2140705.jpg", "Обложка")</f>
        <v>Обложка</v>
      </c>
      <c r="V575" s="28" t="str">
        <f>HYPERLINK("https://znanium.ru/catalog/product/1869626", "Ознакомиться")</f>
        <v>Ознакомиться</v>
      </c>
      <c r="W575" s="8" t="s">
        <v>3693</v>
      </c>
      <c r="X575" s="6"/>
      <c r="Y575" s="6"/>
      <c r="Z575" s="6"/>
      <c r="AA575" s="6" t="s">
        <v>650</v>
      </c>
    </row>
    <row r="576" spans="1:27" s="4" customFormat="1" ht="44.1" customHeight="1">
      <c r="A576" s="5">
        <v>0</v>
      </c>
      <c r="B576" s="6" t="s">
        <v>3694</v>
      </c>
      <c r="C576" s="13">
        <v>530</v>
      </c>
      <c r="D576" s="8" t="s">
        <v>3695</v>
      </c>
      <c r="E576" s="8" t="s">
        <v>3696</v>
      </c>
      <c r="F576" s="8" t="s">
        <v>3697</v>
      </c>
      <c r="G576" s="6" t="s">
        <v>37</v>
      </c>
      <c r="H576" s="6" t="s">
        <v>38</v>
      </c>
      <c r="I576" s="8" t="s">
        <v>39</v>
      </c>
      <c r="J576" s="9">
        <v>1</v>
      </c>
      <c r="K576" s="9">
        <v>144</v>
      </c>
      <c r="L576" s="9">
        <v>2021</v>
      </c>
      <c r="M576" s="8" t="s">
        <v>3698</v>
      </c>
      <c r="N576" s="8" t="s">
        <v>74</v>
      </c>
      <c r="O576" s="8" t="s">
        <v>93</v>
      </c>
      <c r="P576" s="6" t="s">
        <v>43</v>
      </c>
      <c r="Q576" s="8" t="s">
        <v>44</v>
      </c>
      <c r="R576" s="10" t="s">
        <v>3699</v>
      </c>
      <c r="S576" s="11"/>
      <c r="T576" s="6"/>
      <c r="U576" s="28" t="str">
        <f>HYPERLINK("https://media.infra-m.ru/1190/1190687/cover/1190687.jpg", "Обложка")</f>
        <v>Обложка</v>
      </c>
      <c r="V576" s="28" t="str">
        <f>HYPERLINK("https://znanium.ru/catalog/product/1190687", "Ознакомиться")</f>
        <v>Ознакомиться</v>
      </c>
      <c r="W576" s="8" t="s">
        <v>1638</v>
      </c>
      <c r="X576" s="6"/>
      <c r="Y576" s="6"/>
      <c r="Z576" s="6"/>
      <c r="AA576" s="6" t="s">
        <v>59</v>
      </c>
    </row>
    <row r="577" spans="1:27" s="4" customFormat="1" ht="42" customHeight="1">
      <c r="A577" s="5">
        <v>0</v>
      </c>
      <c r="B577" s="6" t="s">
        <v>3700</v>
      </c>
      <c r="C577" s="7">
        <v>1440</v>
      </c>
      <c r="D577" s="8" t="s">
        <v>3701</v>
      </c>
      <c r="E577" s="8" t="s">
        <v>3702</v>
      </c>
      <c r="F577" s="8" t="s">
        <v>3703</v>
      </c>
      <c r="G577" s="6" t="s">
        <v>83</v>
      </c>
      <c r="H577" s="6" t="s">
        <v>38</v>
      </c>
      <c r="I577" s="8" t="s">
        <v>39</v>
      </c>
      <c r="J577" s="9">
        <v>1</v>
      </c>
      <c r="K577" s="9">
        <v>306</v>
      </c>
      <c r="L577" s="9">
        <v>2024</v>
      </c>
      <c r="M577" s="8" t="s">
        <v>3704</v>
      </c>
      <c r="N577" s="8" t="s">
        <v>74</v>
      </c>
      <c r="O577" s="8" t="s">
        <v>394</v>
      </c>
      <c r="P577" s="6" t="s">
        <v>43</v>
      </c>
      <c r="Q577" s="8" t="s">
        <v>44</v>
      </c>
      <c r="R577" s="10" t="s">
        <v>3705</v>
      </c>
      <c r="S577" s="11"/>
      <c r="T577" s="6"/>
      <c r="U577" s="28" t="str">
        <f>HYPERLINK("https://media.infra-m.ru/2134/2134939/cover/2134939.jpg", "Обложка")</f>
        <v>Обложка</v>
      </c>
      <c r="V577" s="28" t="str">
        <f>HYPERLINK("https://znanium.ru/catalog/product/2134939", "Ознакомиться")</f>
        <v>Ознакомиться</v>
      </c>
      <c r="W577" s="8" t="s">
        <v>159</v>
      </c>
      <c r="X577" s="6"/>
      <c r="Y577" s="6"/>
      <c r="Z577" s="6"/>
      <c r="AA577" s="6" t="s">
        <v>364</v>
      </c>
    </row>
    <row r="578" spans="1:27" s="4" customFormat="1" ht="42" customHeight="1">
      <c r="A578" s="5">
        <v>0</v>
      </c>
      <c r="B578" s="6" t="s">
        <v>3706</v>
      </c>
      <c r="C578" s="7">
        <v>1220</v>
      </c>
      <c r="D578" s="8" t="s">
        <v>3707</v>
      </c>
      <c r="E578" s="8" t="s">
        <v>3708</v>
      </c>
      <c r="F578" s="8" t="s">
        <v>1657</v>
      </c>
      <c r="G578" s="6" t="s">
        <v>83</v>
      </c>
      <c r="H578" s="6" t="s">
        <v>38</v>
      </c>
      <c r="I578" s="8" t="s">
        <v>1658</v>
      </c>
      <c r="J578" s="9">
        <v>1</v>
      </c>
      <c r="K578" s="9">
        <v>267</v>
      </c>
      <c r="L578" s="9">
        <v>2023</v>
      </c>
      <c r="M578" s="8" t="s">
        <v>3709</v>
      </c>
      <c r="N578" s="8" t="s">
        <v>41</v>
      </c>
      <c r="O578" s="8" t="s">
        <v>65</v>
      </c>
      <c r="P578" s="6" t="s">
        <v>1300</v>
      </c>
      <c r="Q578" s="8" t="s">
        <v>44</v>
      </c>
      <c r="R578" s="10" t="s">
        <v>3710</v>
      </c>
      <c r="S578" s="11"/>
      <c r="T578" s="6"/>
      <c r="U578" s="28" t="str">
        <f>HYPERLINK("https://media.infra-m.ru/1898/1898123/cover/1898123.jpg", "Обложка")</f>
        <v>Обложка</v>
      </c>
      <c r="V578" s="28" t="str">
        <f>HYPERLINK("https://znanium.ru/catalog/product/1898123", "Ознакомиться")</f>
        <v>Ознакомиться</v>
      </c>
      <c r="W578" s="8" t="s">
        <v>1661</v>
      </c>
      <c r="X578" s="6"/>
      <c r="Y578" s="6"/>
      <c r="Z578" s="6"/>
      <c r="AA578" s="6" t="s">
        <v>364</v>
      </c>
    </row>
    <row r="579" spans="1:27" s="4" customFormat="1" ht="51.95" customHeight="1">
      <c r="A579" s="5">
        <v>0</v>
      </c>
      <c r="B579" s="6" t="s">
        <v>3711</v>
      </c>
      <c r="C579" s="7">
        <v>1100</v>
      </c>
      <c r="D579" s="8" t="s">
        <v>3712</v>
      </c>
      <c r="E579" s="8" t="s">
        <v>3713</v>
      </c>
      <c r="F579" s="8" t="s">
        <v>3714</v>
      </c>
      <c r="G579" s="6" t="s">
        <v>83</v>
      </c>
      <c r="H579" s="6" t="s">
        <v>38</v>
      </c>
      <c r="I579" s="8" t="s">
        <v>884</v>
      </c>
      <c r="J579" s="9">
        <v>1</v>
      </c>
      <c r="K579" s="9">
        <v>232</v>
      </c>
      <c r="L579" s="9">
        <v>2024</v>
      </c>
      <c r="M579" s="8" t="s">
        <v>3715</v>
      </c>
      <c r="N579" s="8" t="s">
        <v>74</v>
      </c>
      <c r="O579" s="8" t="s">
        <v>75</v>
      </c>
      <c r="P579" s="6" t="s">
        <v>55</v>
      </c>
      <c r="Q579" s="8" t="s">
        <v>594</v>
      </c>
      <c r="R579" s="10" t="s">
        <v>3716</v>
      </c>
      <c r="S579" s="11" t="s">
        <v>3717</v>
      </c>
      <c r="T579" s="6"/>
      <c r="U579" s="28" t="str">
        <f>HYPERLINK("https://media.infra-m.ru/2141/2141039/cover/2141039.jpg", "Обложка")</f>
        <v>Обложка</v>
      </c>
      <c r="V579" s="28" t="str">
        <f>HYPERLINK("https://znanium.ru/catalog/product/2141039", "Ознакомиться")</f>
        <v>Ознакомиться</v>
      </c>
      <c r="W579" s="8" t="s">
        <v>355</v>
      </c>
      <c r="X579" s="6"/>
      <c r="Y579" s="6"/>
      <c r="Z579" s="6"/>
      <c r="AA579" s="6" t="s">
        <v>141</v>
      </c>
    </row>
    <row r="580" spans="1:27" s="4" customFormat="1" ht="44.1" customHeight="1">
      <c r="A580" s="5">
        <v>0</v>
      </c>
      <c r="B580" s="6" t="s">
        <v>3718</v>
      </c>
      <c r="C580" s="13">
        <v>430</v>
      </c>
      <c r="D580" s="8" t="s">
        <v>3719</v>
      </c>
      <c r="E580" s="8" t="s">
        <v>3720</v>
      </c>
      <c r="F580" s="8" t="s">
        <v>3721</v>
      </c>
      <c r="G580" s="6" t="s">
        <v>37</v>
      </c>
      <c r="H580" s="6" t="s">
        <v>618</v>
      </c>
      <c r="I580" s="8"/>
      <c r="J580" s="9">
        <v>1</v>
      </c>
      <c r="K580" s="9">
        <v>64</v>
      </c>
      <c r="L580" s="9">
        <v>2024</v>
      </c>
      <c r="M580" s="8" t="s">
        <v>3722</v>
      </c>
      <c r="N580" s="8" t="s">
        <v>41</v>
      </c>
      <c r="O580" s="8" t="s">
        <v>42</v>
      </c>
      <c r="P580" s="6" t="s">
        <v>43</v>
      </c>
      <c r="Q580" s="8" t="s">
        <v>44</v>
      </c>
      <c r="R580" s="10" t="s">
        <v>3723</v>
      </c>
      <c r="S580" s="11"/>
      <c r="T580" s="6"/>
      <c r="U580" s="28" t="str">
        <f>HYPERLINK("https://media.infra-m.ru/2135/2135184/cover/2135184.jpg", "Обложка")</f>
        <v>Обложка</v>
      </c>
      <c r="V580" s="28" t="str">
        <f>HYPERLINK("https://znanium.ru/catalog/product/2135184", "Ознакомиться")</f>
        <v>Ознакомиться</v>
      </c>
      <c r="W580" s="8" t="s">
        <v>416</v>
      </c>
      <c r="X580" s="6"/>
      <c r="Y580" s="6"/>
      <c r="Z580" s="6"/>
      <c r="AA580" s="6" t="s">
        <v>193</v>
      </c>
    </row>
    <row r="581" spans="1:27" s="4" customFormat="1" ht="51.95" customHeight="1">
      <c r="A581" s="5">
        <v>0</v>
      </c>
      <c r="B581" s="6" t="s">
        <v>3724</v>
      </c>
      <c r="C581" s="7">
        <v>1424</v>
      </c>
      <c r="D581" s="8" t="s">
        <v>3725</v>
      </c>
      <c r="E581" s="8" t="s">
        <v>3726</v>
      </c>
      <c r="F581" s="8" t="s">
        <v>3727</v>
      </c>
      <c r="G581" s="6" t="s">
        <v>123</v>
      </c>
      <c r="H581" s="6" t="s">
        <v>52</v>
      </c>
      <c r="I581" s="8" t="s">
        <v>164</v>
      </c>
      <c r="J581" s="9">
        <v>1</v>
      </c>
      <c r="K581" s="9">
        <v>304</v>
      </c>
      <c r="L581" s="9">
        <v>2024</v>
      </c>
      <c r="M581" s="8" t="s">
        <v>3728</v>
      </c>
      <c r="N581" s="8" t="s">
        <v>41</v>
      </c>
      <c r="O581" s="8" t="s">
        <v>65</v>
      </c>
      <c r="P581" s="6" t="s">
        <v>55</v>
      </c>
      <c r="Q581" s="8" t="s">
        <v>56</v>
      </c>
      <c r="R581" s="10" t="s">
        <v>3729</v>
      </c>
      <c r="S581" s="11" t="s">
        <v>3730</v>
      </c>
      <c r="T581" s="6"/>
      <c r="U581" s="28" t="str">
        <f>HYPERLINK("https://media.infra-m.ru/2139/2139240/cover/2139240.jpg", "Обложка")</f>
        <v>Обложка</v>
      </c>
      <c r="V581" s="28" t="str">
        <f>HYPERLINK("https://znanium.ru/catalog/product/1819001", "Ознакомиться")</f>
        <v>Ознакомиться</v>
      </c>
      <c r="W581" s="8" t="s">
        <v>3731</v>
      </c>
      <c r="X581" s="6"/>
      <c r="Y581" s="6"/>
      <c r="Z581" s="6"/>
      <c r="AA581" s="6" t="s">
        <v>59</v>
      </c>
    </row>
    <row r="582" spans="1:27" s="4" customFormat="1" ht="51.95" customHeight="1">
      <c r="A582" s="5">
        <v>0</v>
      </c>
      <c r="B582" s="6" t="s">
        <v>3732</v>
      </c>
      <c r="C582" s="7">
        <v>1690</v>
      </c>
      <c r="D582" s="8" t="s">
        <v>3733</v>
      </c>
      <c r="E582" s="8" t="s">
        <v>3734</v>
      </c>
      <c r="F582" s="8" t="s">
        <v>3735</v>
      </c>
      <c r="G582" s="6" t="s">
        <v>37</v>
      </c>
      <c r="H582" s="6" t="s">
        <v>630</v>
      </c>
      <c r="I582" s="8"/>
      <c r="J582" s="9">
        <v>1</v>
      </c>
      <c r="K582" s="9">
        <v>170</v>
      </c>
      <c r="L582" s="9">
        <v>2023</v>
      </c>
      <c r="M582" s="8" t="s">
        <v>3736</v>
      </c>
      <c r="N582" s="8" t="s">
        <v>74</v>
      </c>
      <c r="O582" s="8" t="s">
        <v>394</v>
      </c>
      <c r="P582" s="6" t="s">
        <v>55</v>
      </c>
      <c r="Q582" s="8" t="s">
        <v>56</v>
      </c>
      <c r="R582" s="10" t="s">
        <v>3737</v>
      </c>
      <c r="S582" s="11"/>
      <c r="T582" s="6"/>
      <c r="U582" s="28" t="str">
        <f>HYPERLINK("https://media.infra-m.ru/1911/1911831/cover/1911831.jpg", "Обложка")</f>
        <v>Обложка</v>
      </c>
      <c r="V582" s="28" t="str">
        <f>HYPERLINK("https://znanium.ru/catalog/product/982325", "Ознакомиться")</f>
        <v>Ознакомиться</v>
      </c>
      <c r="W582" s="8" t="s">
        <v>634</v>
      </c>
      <c r="X582" s="6"/>
      <c r="Y582" s="6"/>
      <c r="Z582" s="6"/>
      <c r="AA582" s="6" t="s">
        <v>381</v>
      </c>
    </row>
    <row r="583" spans="1:27" s="4" customFormat="1" ht="44.1" customHeight="1">
      <c r="A583" s="5">
        <v>0</v>
      </c>
      <c r="B583" s="6" t="s">
        <v>3738</v>
      </c>
      <c r="C583" s="13">
        <v>370</v>
      </c>
      <c r="D583" s="8" t="s">
        <v>3739</v>
      </c>
      <c r="E583" s="8" t="s">
        <v>3740</v>
      </c>
      <c r="F583" s="8" t="s">
        <v>3741</v>
      </c>
      <c r="G583" s="6" t="s">
        <v>37</v>
      </c>
      <c r="H583" s="6" t="s">
        <v>38</v>
      </c>
      <c r="I583" s="8" t="s">
        <v>39</v>
      </c>
      <c r="J583" s="9">
        <v>1</v>
      </c>
      <c r="K583" s="9">
        <v>82</v>
      </c>
      <c r="L583" s="9">
        <v>2023</v>
      </c>
      <c r="M583" s="8" t="s">
        <v>3742</v>
      </c>
      <c r="N583" s="8" t="s">
        <v>74</v>
      </c>
      <c r="O583" s="8" t="s">
        <v>75</v>
      </c>
      <c r="P583" s="6" t="s">
        <v>43</v>
      </c>
      <c r="Q583" s="8" t="s">
        <v>44</v>
      </c>
      <c r="R583" s="10" t="s">
        <v>3743</v>
      </c>
      <c r="S583" s="11"/>
      <c r="T583" s="6"/>
      <c r="U583" s="28" t="str">
        <f>HYPERLINK("https://media.infra-m.ru/1915/1915664/cover/1915664.jpg", "Обложка")</f>
        <v>Обложка</v>
      </c>
      <c r="V583" s="28" t="str">
        <f>HYPERLINK("https://znanium.ru/catalog/product/1915664", "Ознакомиться")</f>
        <v>Ознакомиться</v>
      </c>
      <c r="W583" s="8" t="s">
        <v>58</v>
      </c>
      <c r="X583" s="6"/>
      <c r="Y583" s="6"/>
      <c r="Z583" s="6"/>
      <c r="AA583" s="6" t="s">
        <v>364</v>
      </c>
    </row>
    <row r="584" spans="1:27" s="4" customFormat="1" ht="42" customHeight="1">
      <c r="A584" s="5">
        <v>0</v>
      </c>
      <c r="B584" s="6" t="s">
        <v>3744</v>
      </c>
      <c r="C584" s="13">
        <v>590</v>
      </c>
      <c r="D584" s="8" t="s">
        <v>3745</v>
      </c>
      <c r="E584" s="8" t="s">
        <v>3746</v>
      </c>
      <c r="F584" s="8" t="s">
        <v>400</v>
      </c>
      <c r="G584" s="6" t="s">
        <v>37</v>
      </c>
      <c r="H584" s="6" t="s">
        <v>38</v>
      </c>
      <c r="I584" s="8" t="s">
        <v>39</v>
      </c>
      <c r="J584" s="9">
        <v>1</v>
      </c>
      <c r="K584" s="9">
        <v>167</v>
      </c>
      <c r="L584" s="9">
        <v>2021</v>
      </c>
      <c r="M584" s="8" t="s">
        <v>3747</v>
      </c>
      <c r="N584" s="8" t="s">
        <v>74</v>
      </c>
      <c r="O584" s="8" t="s">
        <v>93</v>
      </c>
      <c r="P584" s="6" t="s">
        <v>43</v>
      </c>
      <c r="Q584" s="8" t="s">
        <v>44</v>
      </c>
      <c r="R584" s="10" t="s">
        <v>1054</v>
      </c>
      <c r="S584" s="11"/>
      <c r="T584" s="6"/>
      <c r="U584" s="28" t="str">
        <f>HYPERLINK("https://media.infra-m.ru/1095/1095735/cover/1095735.jpg", "Обложка")</f>
        <v>Обложка</v>
      </c>
      <c r="V584" s="28" t="str">
        <f>HYPERLINK("https://znanium.ru/catalog/product/1095735", "Ознакомиться")</f>
        <v>Ознакомиться</v>
      </c>
      <c r="W584" s="8" t="s">
        <v>402</v>
      </c>
      <c r="X584" s="6"/>
      <c r="Y584" s="6"/>
      <c r="Z584" s="6"/>
      <c r="AA584" s="6" t="s">
        <v>650</v>
      </c>
    </row>
    <row r="585" spans="1:27" s="4" customFormat="1" ht="44.1" customHeight="1">
      <c r="A585" s="5">
        <v>0</v>
      </c>
      <c r="B585" s="6" t="s">
        <v>3748</v>
      </c>
      <c r="C585" s="7">
        <v>1190</v>
      </c>
      <c r="D585" s="8" t="s">
        <v>3749</v>
      </c>
      <c r="E585" s="8" t="s">
        <v>3750</v>
      </c>
      <c r="F585" s="8" t="s">
        <v>1032</v>
      </c>
      <c r="G585" s="6" t="s">
        <v>83</v>
      </c>
      <c r="H585" s="6" t="s">
        <v>38</v>
      </c>
      <c r="I585" s="8" t="s">
        <v>39</v>
      </c>
      <c r="J585" s="9">
        <v>1</v>
      </c>
      <c r="K585" s="9">
        <v>258</v>
      </c>
      <c r="L585" s="9">
        <v>2024</v>
      </c>
      <c r="M585" s="8" t="s">
        <v>3751</v>
      </c>
      <c r="N585" s="8" t="s">
        <v>74</v>
      </c>
      <c r="O585" s="8" t="s">
        <v>75</v>
      </c>
      <c r="P585" s="6" t="s">
        <v>43</v>
      </c>
      <c r="Q585" s="8" t="s">
        <v>44</v>
      </c>
      <c r="R585" s="10" t="s">
        <v>3752</v>
      </c>
      <c r="S585" s="11"/>
      <c r="T585" s="6"/>
      <c r="U585" s="28" t="str">
        <f>HYPERLINK("https://media.infra-m.ru/2115/2115738/cover/2115738.jpg", "Обложка")</f>
        <v>Обложка</v>
      </c>
      <c r="V585" s="28" t="str">
        <f>HYPERLINK("https://znanium.ru/catalog/product/2115738", "Ознакомиться")</f>
        <v>Ознакомиться</v>
      </c>
      <c r="W585" s="8" t="s">
        <v>1035</v>
      </c>
      <c r="X585" s="6"/>
      <c r="Y585" s="6"/>
      <c r="Z585" s="6"/>
      <c r="AA585" s="6" t="s">
        <v>768</v>
      </c>
    </row>
    <row r="586" spans="1:27" s="4" customFormat="1" ht="44.1" customHeight="1">
      <c r="A586" s="5">
        <v>0</v>
      </c>
      <c r="B586" s="6" t="s">
        <v>3753</v>
      </c>
      <c r="C586" s="13">
        <v>494.9</v>
      </c>
      <c r="D586" s="8" t="s">
        <v>3754</v>
      </c>
      <c r="E586" s="8" t="s">
        <v>3755</v>
      </c>
      <c r="F586" s="8" t="s">
        <v>1721</v>
      </c>
      <c r="G586" s="6" t="s">
        <v>37</v>
      </c>
      <c r="H586" s="6" t="s">
        <v>38</v>
      </c>
      <c r="I586" s="8" t="s">
        <v>164</v>
      </c>
      <c r="J586" s="9">
        <v>1</v>
      </c>
      <c r="K586" s="9">
        <v>101</v>
      </c>
      <c r="L586" s="9">
        <v>2023</v>
      </c>
      <c r="M586" s="8" t="s">
        <v>3756</v>
      </c>
      <c r="N586" s="8" t="s">
        <v>41</v>
      </c>
      <c r="O586" s="8" t="s">
        <v>65</v>
      </c>
      <c r="P586" s="6" t="s">
        <v>55</v>
      </c>
      <c r="Q586" s="8" t="s">
        <v>56</v>
      </c>
      <c r="R586" s="10" t="s">
        <v>428</v>
      </c>
      <c r="S586" s="11"/>
      <c r="T586" s="6"/>
      <c r="U586" s="28" t="str">
        <f>HYPERLINK("https://media.infra-m.ru/1913/1913026/cover/1913026.jpg", "Обложка")</f>
        <v>Обложка</v>
      </c>
      <c r="V586" s="28" t="str">
        <f>HYPERLINK("https://znanium.ru/catalog/product/938019", "Ознакомиться")</f>
        <v>Ознакомиться</v>
      </c>
      <c r="W586" s="8" t="s">
        <v>1028</v>
      </c>
      <c r="X586" s="6"/>
      <c r="Y586" s="6"/>
      <c r="Z586" s="6"/>
      <c r="AA586" s="6" t="s">
        <v>364</v>
      </c>
    </row>
    <row r="587" spans="1:27" s="4" customFormat="1" ht="51.95" customHeight="1">
      <c r="A587" s="5">
        <v>0</v>
      </c>
      <c r="B587" s="6" t="s">
        <v>3757</v>
      </c>
      <c r="C587" s="7">
        <v>1044</v>
      </c>
      <c r="D587" s="8" t="s">
        <v>3758</v>
      </c>
      <c r="E587" s="8" t="s">
        <v>3759</v>
      </c>
      <c r="F587" s="8" t="s">
        <v>3760</v>
      </c>
      <c r="G587" s="6" t="s">
        <v>123</v>
      </c>
      <c r="H587" s="6" t="s">
        <v>38</v>
      </c>
      <c r="I587" s="8" t="s">
        <v>164</v>
      </c>
      <c r="J587" s="9">
        <v>1</v>
      </c>
      <c r="K587" s="9">
        <v>228</v>
      </c>
      <c r="L587" s="9">
        <v>2024</v>
      </c>
      <c r="M587" s="8" t="s">
        <v>3761</v>
      </c>
      <c r="N587" s="8" t="s">
        <v>74</v>
      </c>
      <c r="O587" s="8" t="s">
        <v>75</v>
      </c>
      <c r="P587" s="6" t="s">
        <v>55</v>
      </c>
      <c r="Q587" s="8" t="s">
        <v>56</v>
      </c>
      <c r="R587" s="10" t="s">
        <v>3762</v>
      </c>
      <c r="S587" s="11" t="s">
        <v>3763</v>
      </c>
      <c r="T587" s="6"/>
      <c r="U587" s="28" t="str">
        <f>HYPERLINK("https://media.infra-m.ru/2110/2110949/cover/2110949.jpg", "Обложка")</f>
        <v>Обложка</v>
      </c>
      <c r="V587" s="28" t="str">
        <f>HYPERLINK("https://znanium.ru/catalog/product/999916", "Ознакомиться")</f>
        <v>Ознакомиться</v>
      </c>
      <c r="W587" s="8" t="s">
        <v>77</v>
      </c>
      <c r="X587" s="6"/>
      <c r="Y587" s="6"/>
      <c r="Z587" s="6"/>
      <c r="AA587" s="6" t="s">
        <v>141</v>
      </c>
    </row>
    <row r="588" spans="1:27" s="4" customFormat="1" ht="51.95" customHeight="1">
      <c r="A588" s="5">
        <v>0</v>
      </c>
      <c r="B588" s="6" t="s">
        <v>3764</v>
      </c>
      <c r="C588" s="7">
        <v>1214</v>
      </c>
      <c r="D588" s="8" t="s">
        <v>3765</v>
      </c>
      <c r="E588" s="8" t="s">
        <v>3766</v>
      </c>
      <c r="F588" s="8" t="s">
        <v>3767</v>
      </c>
      <c r="G588" s="6" t="s">
        <v>123</v>
      </c>
      <c r="H588" s="6" t="s">
        <v>38</v>
      </c>
      <c r="I588" s="8" t="s">
        <v>205</v>
      </c>
      <c r="J588" s="9">
        <v>1</v>
      </c>
      <c r="K588" s="9">
        <v>219</v>
      </c>
      <c r="L588" s="9">
        <v>2024</v>
      </c>
      <c r="M588" s="8" t="s">
        <v>3768</v>
      </c>
      <c r="N588" s="8" t="s">
        <v>74</v>
      </c>
      <c r="O588" s="8" t="s">
        <v>75</v>
      </c>
      <c r="P588" s="6" t="s">
        <v>176</v>
      </c>
      <c r="Q588" s="8" t="s">
        <v>207</v>
      </c>
      <c r="R588" s="10" t="s">
        <v>3769</v>
      </c>
      <c r="S588" s="11" t="s">
        <v>3770</v>
      </c>
      <c r="T588" s="6"/>
      <c r="U588" s="28" t="str">
        <f>HYPERLINK("https://media.infra-m.ru/2145/2145220/cover/2145220.jpg", "Обложка")</f>
        <v>Обложка</v>
      </c>
      <c r="V588" s="28" t="str">
        <f>HYPERLINK("https://znanium.ru/catalog/product/1843012", "Ознакомиться")</f>
        <v>Ознакомиться</v>
      </c>
      <c r="W588" s="8" t="s">
        <v>986</v>
      </c>
      <c r="X588" s="6"/>
      <c r="Y588" s="6"/>
      <c r="Z588" s="6"/>
      <c r="AA588" s="6" t="s">
        <v>103</v>
      </c>
    </row>
    <row r="589" spans="1:27" s="4" customFormat="1" ht="51.95" customHeight="1">
      <c r="A589" s="5">
        <v>0</v>
      </c>
      <c r="B589" s="6" t="s">
        <v>3771</v>
      </c>
      <c r="C589" s="7">
        <v>1510</v>
      </c>
      <c r="D589" s="8" t="s">
        <v>3772</v>
      </c>
      <c r="E589" s="8" t="s">
        <v>3773</v>
      </c>
      <c r="F589" s="8" t="s">
        <v>3774</v>
      </c>
      <c r="G589" s="6" t="s">
        <v>123</v>
      </c>
      <c r="H589" s="6" t="s">
        <v>38</v>
      </c>
      <c r="I589" s="8" t="s">
        <v>205</v>
      </c>
      <c r="J589" s="9">
        <v>1</v>
      </c>
      <c r="K589" s="9">
        <v>471</v>
      </c>
      <c r="L589" s="9">
        <v>2019</v>
      </c>
      <c r="M589" s="8" t="s">
        <v>3775</v>
      </c>
      <c r="N589" s="8" t="s">
        <v>74</v>
      </c>
      <c r="O589" s="8" t="s">
        <v>75</v>
      </c>
      <c r="P589" s="6" t="s">
        <v>55</v>
      </c>
      <c r="Q589" s="8" t="s">
        <v>207</v>
      </c>
      <c r="R589" s="10" t="s">
        <v>766</v>
      </c>
      <c r="S589" s="11" t="s">
        <v>3776</v>
      </c>
      <c r="T589" s="6"/>
      <c r="U589" s="28" t="str">
        <f>HYPERLINK("https://media.infra-m.ru/1026/1026003/cover/1026003.jpg", "Обложка")</f>
        <v>Обложка</v>
      </c>
      <c r="V589" s="28" t="str">
        <f>HYPERLINK("https://znanium.ru/catalog/product/1026003", "Ознакомиться")</f>
        <v>Ознакомиться</v>
      </c>
      <c r="W589" s="8" t="s">
        <v>2751</v>
      </c>
      <c r="X589" s="6"/>
      <c r="Y589" s="6"/>
      <c r="Z589" s="6" t="s">
        <v>235</v>
      </c>
      <c r="AA589" s="6" t="s">
        <v>78</v>
      </c>
    </row>
    <row r="590" spans="1:27" s="4" customFormat="1" ht="51.95" customHeight="1">
      <c r="A590" s="5">
        <v>0</v>
      </c>
      <c r="B590" s="6" t="s">
        <v>3777</v>
      </c>
      <c r="C590" s="7">
        <v>2100</v>
      </c>
      <c r="D590" s="8" t="s">
        <v>3778</v>
      </c>
      <c r="E590" s="8" t="s">
        <v>3773</v>
      </c>
      <c r="F590" s="8" t="s">
        <v>3774</v>
      </c>
      <c r="G590" s="6" t="s">
        <v>123</v>
      </c>
      <c r="H590" s="6" t="s">
        <v>38</v>
      </c>
      <c r="I590" s="8" t="s">
        <v>155</v>
      </c>
      <c r="J590" s="9">
        <v>1</v>
      </c>
      <c r="K590" s="9">
        <v>471</v>
      </c>
      <c r="L590" s="9">
        <v>2024</v>
      </c>
      <c r="M590" s="8" t="s">
        <v>3779</v>
      </c>
      <c r="N590" s="8" t="s">
        <v>74</v>
      </c>
      <c r="O590" s="8" t="s">
        <v>75</v>
      </c>
      <c r="P590" s="6" t="s">
        <v>55</v>
      </c>
      <c r="Q590" s="8" t="s">
        <v>56</v>
      </c>
      <c r="R590" s="10" t="s">
        <v>3561</v>
      </c>
      <c r="S590" s="11" t="s">
        <v>3780</v>
      </c>
      <c r="T590" s="6"/>
      <c r="U590" s="28" t="str">
        <f>HYPERLINK("https://media.infra-m.ru/2110/2110955/cover/2110955.jpg", "Обложка")</f>
        <v>Обложка</v>
      </c>
      <c r="V590" s="28" t="str">
        <f>HYPERLINK("https://znanium.ru/catalog/product/2110955", "Ознакомиться")</f>
        <v>Ознакомиться</v>
      </c>
      <c r="W590" s="8" t="s">
        <v>2751</v>
      </c>
      <c r="X590" s="6"/>
      <c r="Y590" s="6"/>
      <c r="Z590" s="6"/>
      <c r="AA590" s="6" t="s">
        <v>78</v>
      </c>
    </row>
    <row r="591" spans="1:27" s="4" customFormat="1" ht="51.95" customHeight="1">
      <c r="A591" s="5">
        <v>0</v>
      </c>
      <c r="B591" s="6" t="s">
        <v>3781</v>
      </c>
      <c r="C591" s="13">
        <v>794</v>
      </c>
      <c r="D591" s="8" t="s">
        <v>3782</v>
      </c>
      <c r="E591" s="8" t="s">
        <v>3783</v>
      </c>
      <c r="F591" s="8" t="s">
        <v>3784</v>
      </c>
      <c r="G591" s="6" t="s">
        <v>37</v>
      </c>
      <c r="H591" s="6" t="s">
        <v>630</v>
      </c>
      <c r="I591" s="8"/>
      <c r="J591" s="9">
        <v>1</v>
      </c>
      <c r="K591" s="9">
        <v>176</v>
      </c>
      <c r="L591" s="9">
        <v>2023</v>
      </c>
      <c r="M591" s="8" t="s">
        <v>3785</v>
      </c>
      <c r="N591" s="8" t="s">
        <v>74</v>
      </c>
      <c r="O591" s="8" t="s">
        <v>75</v>
      </c>
      <c r="P591" s="6" t="s">
        <v>55</v>
      </c>
      <c r="Q591" s="8" t="s">
        <v>56</v>
      </c>
      <c r="R591" s="10" t="s">
        <v>3786</v>
      </c>
      <c r="S591" s="11"/>
      <c r="T591" s="6"/>
      <c r="U591" s="28" t="str">
        <f>HYPERLINK("https://media.infra-m.ru/1054/1054213/cover/1054213.jpg", "Обложка")</f>
        <v>Обложка</v>
      </c>
      <c r="V591" s="28" t="str">
        <f>HYPERLINK("https://znanium.ru/catalog/product/995364", "Ознакомиться")</f>
        <v>Ознакомиться</v>
      </c>
      <c r="W591" s="8"/>
      <c r="X591" s="6"/>
      <c r="Y591" s="6"/>
      <c r="Z591" s="6"/>
      <c r="AA591" s="6" t="s">
        <v>290</v>
      </c>
    </row>
    <row r="592" spans="1:27" s="4" customFormat="1" ht="51.95" customHeight="1">
      <c r="A592" s="5">
        <v>0</v>
      </c>
      <c r="B592" s="6" t="s">
        <v>3787</v>
      </c>
      <c r="C592" s="7">
        <v>1667</v>
      </c>
      <c r="D592" s="8" t="s">
        <v>3788</v>
      </c>
      <c r="E592" s="8" t="s">
        <v>3789</v>
      </c>
      <c r="F592" s="8" t="s">
        <v>3790</v>
      </c>
      <c r="G592" s="6" t="s">
        <v>123</v>
      </c>
      <c r="H592" s="6" t="s">
        <v>52</v>
      </c>
      <c r="I592" s="8" t="s">
        <v>155</v>
      </c>
      <c r="J592" s="9">
        <v>1</v>
      </c>
      <c r="K592" s="9">
        <v>272</v>
      </c>
      <c r="L592" s="9">
        <v>2024</v>
      </c>
      <c r="M592" s="8" t="s">
        <v>3791</v>
      </c>
      <c r="N592" s="8" t="s">
        <v>74</v>
      </c>
      <c r="O592" s="8" t="s">
        <v>75</v>
      </c>
      <c r="P592" s="6" t="s">
        <v>55</v>
      </c>
      <c r="Q592" s="8" t="s">
        <v>56</v>
      </c>
      <c r="R592" s="10" t="s">
        <v>681</v>
      </c>
      <c r="S592" s="11" t="s">
        <v>3792</v>
      </c>
      <c r="T592" s="6"/>
      <c r="U592" s="28" t="str">
        <f>HYPERLINK("https://media.infra-m.ru/1981/1981729/cover/1981729.jpg", "Обложка")</f>
        <v>Обложка</v>
      </c>
      <c r="V592" s="28" t="str">
        <f>HYPERLINK("https://znanium.ru/catalog/product/535143", "Ознакомиться")</f>
        <v>Ознакомиться</v>
      </c>
      <c r="W592" s="8" t="s">
        <v>2751</v>
      </c>
      <c r="X592" s="6"/>
      <c r="Y592" s="6"/>
      <c r="Z592" s="6"/>
      <c r="AA592" s="6" t="s">
        <v>59</v>
      </c>
    </row>
    <row r="593" spans="1:27" s="4" customFormat="1" ht="51.95" customHeight="1">
      <c r="A593" s="5">
        <v>0</v>
      </c>
      <c r="B593" s="6" t="s">
        <v>3793</v>
      </c>
      <c r="C593" s="7">
        <v>1550</v>
      </c>
      <c r="D593" s="8" t="s">
        <v>3794</v>
      </c>
      <c r="E593" s="8" t="s">
        <v>3795</v>
      </c>
      <c r="F593" s="8" t="s">
        <v>3796</v>
      </c>
      <c r="G593" s="6" t="s">
        <v>83</v>
      </c>
      <c r="H593" s="6" t="s">
        <v>38</v>
      </c>
      <c r="I593" s="8" t="s">
        <v>164</v>
      </c>
      <c r="J593" s="9">
        <v>1</v>
      </c>
      <c r="K593" s="9">
        <v>343</v>
      </c>
      <c r="L593" s="9">
        <v>2021</v>
      </c>
      <c r="M593" s="8" t="s">
        <v>3797</v>
      </c>
      <c r="N593" s="8" t="s">
        <v>74</v>
      </c>
      <c r="O593" s="8" t="s">
        <v>75</v>
      </c>
      <c r="P593" s="6" t="s">
        <v>176</v>
      </c>
      <c r="Q593" s="8" t="s">
        <v>56</v>
      </c>
      <c r="R593" s="10" t="s">
        <v>3798</v>
      </c>
      <c r="S593" s="11" t="s">
        <v>3799</v>
      </c>
      <c r="T593" s="6"/>
      <c r="U593" s="28" t="str">
        <f>HYPERLINK("https://media.infra-m.ru/1356/1356162/cover/1356162.jpg", "Обложка")</f>
        <v>Обложка</v>
      </c>
      <c r="V593" s="28" t="str">
        <f>HYPERLINK("https://znanium.ru/catalog/product/1356162", "Ознакомиться")</f>
        <v>Ознакомиться</v>
      </c>
      <c r="W593" s="8" t="s">
        <v>1005</v>
      </c>
      <c r="X593" s="6"/>
      <c r="Y593" s="6"/>
      <c r="Z593" s="6"/>
      <c r="AA593" s="6" t="s">
        <v>3800</v>
      </c>
    </row>
    <row r="594" spans="1:27" s="4" customFormat="1" ht="51.95" customHeight="1">
      <c r="A594" s="5">
        <v>0</v>
      </c>
      <c r="B594" s="6" t="s">
        <v>3801</v>
      </c>
      <c r="C594" s="7">
        <v>1124.9000000000001</v>
      </c>
      <c r="D594" s="8" t="s">
        <v>3802</v>
      </c>
      <c r="E594" s="8" t="s">
        <v>3803</v>
      </c>
      <c r="F594" s="8" t="s">
        <v>3804</v>
      </c>
      <c r="G594" s="6" t="s">
        <v>123</v>
      </c>
      <c r="H594" s="6" t="s">
        <v>528</v>
      </c>
      <c r="I594" s="8" t="s">
        <v>3805</v>
      </c>
      <c r="J594" s="9">
        <v>1</v>
      </c>
      <c r="K594" s="9">
        <v>350</v>
      </c>
      <c r="L594" s="9">
        <v>2019</v>
      </c>
      <c r="M594" s="8" t="s">
        <v>3806</v>
      </c>
      <c r="N594" s="8" t="s">
        <v>74</v>
      </c>
      <c r="O594" s="8" t="s">
        <v>75</v>
      </c>
      <c r="P594" s="6" t="s">
        <v>176</v>
      </c>
      <c r="Q594" s="8" t="s">
        <v>56</v>
      </c>
      <c r="R594" s="10" t="s">
        <v>3798</v>
      </c>
      <c r="S594" s="11" t="s">
        <v>3807</v>
      </c>
      <c r="T594" s="6"/>
      <c r="U594" s="28" t="str">
        <f>HYPERLINK("https://media.infra-m.ru/0987/0987787/cover/987787.jpg", "Обложка")</f>
        <v>Обложка</v>
      </c>
      <c r="V594" s="28" t="str">
        <f>HYPERLINK("https://znanium.ru/catalog/product/1356162", "Ознакомиться")</f>
        <v>Ознакомиться</v>
      </c>
      <c r="W594" s="8" t="s">
        <v>1005</v>
      </c>
      <c r="X594" s="6"/>
      <c r="Y594" s="6"/>
      <c r="Z594" s="6"/>
      <c r="AA594" s="6" t="s">
        <v>2704</v>
      </c>
    </row>
    <row r="595" spans="1:27" s="4" customFormat="1" ht="51.95" customHeight="1">
      <c r="A595" s="5">
        <v>0</v>
      </c>
      <c r="B595" s="6" t="s">
        <v>3808</v>
      </c>
      <c r="C595" s="7">
        <v>1370</v>
      </c>
      <c r="D595" s="8" t="s">
        <v>3809</v>
      </c>
      <c r="E595" s="8" t="s">
        <v>3810</v>
      </c>
      <c r="F595" s="8" t="s">
        <v>3811</v>
      </c>
      <c r="G595" s="6" t="s">
        <v>83</v>
      </c>
      <c r="H595" s="6" t="s">
        <v>38</v>
      </c>
      <c r="I595" s="8" t="s">
        <v>164</v>
      </c>
      <c r="J595" s="9">
        <v>1</v>
      </c>
      <c r="K595" s="9">
        <v>304</v>
      </c>
      <c r="L595" s="9">
        <v>2023</v>
      </c>
      <c r="M595" s="8" t="s">
        <v>3812</v>
      </c>
      <c r="N595" s="8" t="s">
        <v>74</v>
      </c>
      <c r="O595" s="8" t="s">
        <v>75</v>
      </c>
      <c r="P595" s="6" t="s">
        <v>55</v>
      </c>
      <c r="Q595" s="8" t="s">
        <v>177</v>
      </c>
      <c r="R595" s="10" t="s">
        <v>3813</v>
      </c>
      <c r="S595" s="11" t="s">
        <v>3814</v>
      </c>
      <c r="T595" s="6"/>
      <c r="U595" s="28" t="str">
        <f>HYPERLINK("https://media.infra-m.ru/1995/1995273/cover/1995273.jpg", "Обложка")</f>
        <v>Обложка</v>
      </c>
      <c r="V595" s="28" t="str">
        <f>HYPERLINK("https://znanium.ru/catalog/product/1816624", "Ознакомиться")</f>
        <v>Ознакомиться</v>
      </c>
      <c r="W595" s="8" t="s">
        <v>1005</v>
      </c>
      <c r="X595" s="6"/>
      <c r="Y595" s="6"/>
      <c r="Z595" s="6"/>
      <c r="AA595" s="6" t="s">
        <v>290</v>
      </c>
    </row>
    <row r="596" spans="1:27" s="4" customFormat="1" ht="51.95" customHeight="1">
      <c r="A596" s="5">
        <v>0</v>
      </c>
      <c r="B596" s="6" t="s">
        <v>3815</v>
      </c>
      <c r="C596" s="7">
        <v>1934</v>
      </c>
      <c r="D596" s="8" t="s">
        <v>3816</v>
      </c>
      <c r="E596" s="8" t="s">
        <v>3817</v>
      </c>
      <c r="F596" s="8" t="s">
        <v>3818</v>
      </c>
      <c r="G596" s="6" t="s">
        <v>123</v>
      </c>
      <c r="H596" s="6" t="s">
        <v>38</v>
      </c>
      <c r="I596" s="8" t="s">
        <v>164</v>
      </c>
      <c r="J596" s="9">
        <v>1</v>
      </c>
      <c r="K596" s="9">
        <v>421</v>
      </c>
      <c r="L596" s="9">
        <v>2023</v>
      </c>
      <c r="M596" s="8" t="s">
        <v>3819</v>
      </c>
      <c r="N596" s="8" t="s">
        <v>74</v>
      </c>
      <c r="O596" s="8" t="s">
        <v>75</v>
      </c>
      <c r="P596" s="6" t="s">
        <v>55</v>
      </c>
      <c r="Q596" s="8" t="s">
        <v>56</v>
      </c>
      <c r="R596" s="10" t="s">
        <v>3820</v>
      </c>
      <c r="S596" s="11" t="s">
        <v>3821</v>
      </c>
      <c r="T596" s="6"/>
      <c r="U596" s="28" t="str">
        <f>HYPERLINK("https://media.infra-m.ru/2006/2006076/cover/2006076.jpg", "Обложка")</f>
        <v>Обложка</v>
      </c>
      <c r="V596" s="28" t="str">
        <f>HYPERLINK("https://znanium.ru/catalog/product/968121", "Ознакомиться")</f>
        <v>Ознакомиться</v>
      </c>
      <c r="W596" s="8" t="s">
        <v>2751</v>
      </c>
      <c r="X596" s="6"/>
      <c r="Y596" s="6"/>
      <c r="Z596" s="6"/>
      <c r="AA596" s="6" t="s">
        <v>193</v>
      </c>
    </row>
    <row r="597" spans="1:27" s="4" customFormat="1" ht="51.95" customHeight="1">
      <c r="A597" s="5">
        <v>0</v>
      </c>
      <c r="B597" s="6" t="s">
        <v>3822</v>
      </c>
      <c r="C597" s="7">
        <v>1384</v>
      </c>
      <c r="D597" s="8" t="s">
        <v>3823</v>
      </c>
      <c r="E597" s="8" t="s">
        <v>3824</v>
      </c>
      <c r="F597" s="8" t="s">
        <v>3825</v>
      </c>
      <c r="G597" s="6" t="s">
        <v>83</v>
      </c>
      <c r="H597" s="6" t="s">
        <v>38</v>
      </c>
      <c r="I597" s="8" t="s">
        <v>164</v>
      </c>
      <c r="J597" s="9">
        <v>1</v>
      </c>
      <c r="K597" s="9">
        <v>302</v>
      </c>
      <c r="L597" s="9">
        <v>2024</v>
      </c>
      <c r="M597" s="8" t="s">
        <v>3826</v>
      </c>
      <c r="N597" s="8" t="s">
        <v>74</v>
      </c>
      <c r="O597" s="8" t="s">
        <v>75</v>
      </c>
      <c r="P597" s="6" t="s">
        <v>176</v>
      </c>
      <c r="Q597" s="8" t="s">
        <v>56</v>
      </c>
      <c r="R597" s="10" t="s">
        <v>3827</v>
      </c>
      <c r="S597" s="11" t="s">
        <v>3828</v>
      </c>
      <c r="T597" s="6"/>
      <c r="U597" s="28" t="str">
        <f>HYPERLINK("https://media.infra-m.ru/2058/2058766/cover/2058766.jpg", "Обложка")</f>
        <v>Обложка</v>
      </c>
      <c r="V597" s="28" t="str">
        <f>HYPERLINK("https://znanium.ru/catalog/product/1221472", "Ознакомиться")</f>
        <v>Ознакомиться</v>
      </c>
      <c r="W597" s="8" t="s">
        <v>1005</v>
      </c>
      <c r="X597" s="6"/>
      <c r="Y597" s="6"/>
      <c r="Z597" s="6"/>
      <c r="AA597" s="6" t="s">
        <v>274</v>
      </c>
    </row>
    <row r="598" spans="1:27" s="4" customFormat="1" ht="51.95" customHeight="1">
      <c r="A598" s="5">
        <v>0</v>
      </c>
      <c r="B598" s="6" t="s">
        <v>3829</v>
      </c>
      <c r="C598" s="7">
        <v>1390</v>
      </c>
      <c r="D598" s="8" t="s">
        <v>3830</v>
      </c>
      <c r="E598" s="8" t="s">
        <v>3824</v>
      </c>
      <c r="F598" s="8" t="s">
        <v>3825</v>
      </c>
      <c r="G598" s="6" t="s">
        <v>83</v>
      </c>
      <c r="H598" s="6" t="s">
        <v>38</v>
      </c>
      <c r="I598" s="8" t="s">
        <v>205</v>
      </c>
      <c r="J598" s="9">
        <v>1</v>
      </c>
      <c r="K598" s="9">
        <v>302</v>
      </c>
      <c r="L598" s="9">
        <v>2024</v>
      </c>
      <c r="M598" s="8" t="s">
        <v>3831</v>
      </c>
      <c r="N598" s="8" t="s">
        <v>74</v>
      </c>
      <c r="O598" s="8" t="s">
        <v>75</v>
      </c>
      <c r="P598" s="6" t="s">
        <v>176</v>
      </c>
      <c r="Q598" s="8" t="s">
        <v>207</v>
      </c>
      <c r="R598" s="10" t="s">
        <v>531</v>
      </c>
      <c r="S598" s="11" t="s">
        <v>3832</v>
      </c>
      <c r="T598" s="6"/>
      <c r="U598" s="28" t="str">
        <f>HYPERLINK("https://media.infra-m.ru/2130/2130691/cover/2130691.jpg", "Обложка")</f>
        <v>Обложка</v>
      </c>
      <c r="V598" s="28" t="str">
        <f>HYPERLINK("https://znanium.ru/catalog/product/2130691", "Ознакомиться")</f>
        <v>Ознакомиться</v>
      </c>
      <c r="W598" s="8" t="s">
        <v>1005</v>
      </c>
      <c r="X598" s="6"/>
      <c r="Y598" s="6"/>
      <c r="Z598" s="6" t="s">
        <v>235</v>
      </c>
      <c r="AA598" s="6" t="s">
        <v>193</v>
      </c>
    </row>
    <row r="599" spans="1:27" s="4" customFormat="1" ht="51.95" customHeight="1">
      <c r="A599" s="5">
        <v>0</v>
      </c>
      <c r="B599" s="6" t="s">
        <v>3833</v>
      </c>
      <c r="C599" s="7">
        <v>1120</v>
      </c>
      <c r="D599" s="8" t="s">
        <v>3834</v>
      </c>
      <c r="E599" s="8" t="s">
        <v>3835</v>
      </c>
      <c r="F599" s="8" t="s">
        <v>3760</v>
      </c>
      <c r="G599" s="6" t="s">
        <v>83</v>
      </c>
      <c r="H599" s="6" t="s">
        <v>38</v>
      </c>
      <c r="I599" s="8" t="s">
        <v>164</v>
      </c>
      <c r="J599" s="9">
        <v>1</v>
      </c>
      <c r="K599" s="9">
        <v>247</v>
      </c>
      <c r="L599" s="9">
        <v>2023</v>
      </c>
      <c r="M599" s="8" t="s">
        <v>3836</v>
      </c>
      <c r="N599" s="8" t="s">
        <v>74</v>
      </c>
      <c r="O599" s="8" t="s">
        <v>75</v>
      </c>
      <c r="P599" s="6" t="s">
        <v>176</v>
      </c>
      <c r="Q599" s="8" t="s">
        <v>56</v>
      </c>
      <c r="R599" s="10" t="s">
        <v>253</v>
      </c>
      <c r="S599" s="11" t="s">
        <v>3837</v>
      </c>
      <c r="T599" s="6"/>
      <c r="U599" s="28" t="str">
        <f>HYPERLINK("https://media.infra-m.ru/1901/1901472/cover/1901472.jpg", "Обложка")</f>
        <v>Обложка</v>
      </c>
      <c r="V599" s="28" t="str">
        <f>HYPERLINK("https://znanium.ru/catalog/product/1901472", "Ознакомиться")</f>
        <v>Ознакомиться</v>
      </c>
      <c r="W599" s="8" t="s">
        <v>77</v>
      </c>
      <c r="X599" s="6"/>
      <c r="Y599" s="6"/>
      <c r="Z599" s="6"/>
      <c r="AA599" s="6" t="s">
        <v>78</v>
      </c>
    </row>
    <row r="600" spans="1:27" s="4" customFormat="1" ht="51.95" customHeight="1">
      <c r="A600" s="5">
        <v>0</v>
      </c>
      <c r="B600" s="6" t="s">
        <v>3838</v>
      </c>
      <c r="C600" s="7">
        <v>1110</v>
      </c>
      <c r="D600" s="8" t="s">
        <v>3839</v>
      </c>
      <c r="E600" s="8" t="s">
        <v>3835</v>
      </c>
      <c r="F600" s="8" t="s">
        <v>3760</v>
      </c>
      <c r="G600" s="6" t="s">
        <v>83</v>
      </c>
      <c r="H600" s="6" t="s">
        <v>38</v>
      </c>
      <c r="I600" s="8" t="s">
        <v>185</v>
      </c>
      <c r="J600" s="9">
        <v>1</v>
      </c>
      <c r="K600" s="9">
        <v>247</v>
      </c>
      <c r="L600" s="9">
        <v>2023</v>
      </c>
      <c r="M600" s="8" t="s">
        <v>3840</v>
      </c>
      <c r="N600" s="8" t="s">
        <v>74</v>
      </c>
      <c r="O600" s="8" t="s">
        <v>75</v>
      </c>
      <c r="P600" s="6" t="s">
        <v>176</v>
      </c>
      <c r="Q600" s="8" t="s">
        <v>187</v>
      </c>
      <c r="R600" s="10" t="s">
        <v>3841</v>
      </c>
      <c r="S600" s="11" t="s">
        <v>3842</v>
      </c>
      <c r="T600" s="6"/>
      <c r="U600" s="28" t="str">
        <f>HYPERLINK("https://media.infra-m.ru/1959/1959268/cover/1959268.jpg", "Обложка")</f>
        <v>Обложка</v>
      </c>
      <c r="V600" s="28" t="str">
        <f>HYPERLINK("https://znanium.ru/catalog/product/1959268", "Ознакомиться")</f>
        <v>Ознакомиться</v>
      </c>
      <c r="W600" s="8" t="s">
        <v>77</v>
      </c>
      <c r="X600" s="6"/>
      <c r="Y600" s="6"/>
      <c r="Z600" s="6" t="s">
        <v>192</v>
      </c>
      <c r="AA600" s="6" t="s">
        <v>193</v>
      </c>
    </row>
    <row r="601" spans="1:27" s="4" customFormat="1" ht="51.95" customHeight="1">
      <c r="A601" s="5">
        <v>0</v>
      </c>
      <c r="B601" s="6" t="s">
        <v>3843</v>
      </c>
      <c r="C601" s="7">
        <v>1150</v>
      </c>
      <c r="D601" s="8" t="s">
        <v>3844</v>
      </c>
      <c r="E601" s="8" t="s">
        <v>3835</v>
      </c>
      <c r="F601" s="8" t="s">
        <v>3760</v>
      </c>
      <c r="G601" s="6" t="s">
        <v>83</v>
      </c>
      <c r="H601" s="6" t="s">
        <v>38</v>
      </c>
      <c r="I601" s="8" t="s">
        <v>205</v>
      </c>
      <c r="J601" s="9">
        <v>1</v>
      </c>
      <c r="K601" s="9">
        <v>247</v>
      </c>
      <c r="L601" s="9">
        <v>2024</v>
      </c>
      <c r="M601" s="8" t="s">
        <v>3845</v>
      </c>
      <c r="N601" s="8" t="s">
        <v>74</v>
      </c>
      <c r="O601" s="8" t="s">
        <v>75</v>
      </c>
      <c r="P601" s="6" t="s">
        <v>176</v>
      </c>
      <c r="Q601" s="8" t="s">
        <v>207</v>
      </c>
      <c r="R601" s="10" t="s">
        <v>3846</v>
      </c>
      <c r="S601" s="11" t="s">
        <v>3847</v>
      </c>
      <c r="T601" s="6"/>
      <c r="U601" s="28" t="str">
        <f>HYPERLINK("https://media.infra-m.ru/2076/2076901/cover/2076901.jpg", "Обложка")</f>
        <v>Обложка</v>
      </c>
      <c r="V601" s="28" t="str">
        <f>HYPERLINK("https://znanium.ru/catalog/product/2076901", "Ознакомиться")</f>
        <v>Ознакомиться</v>
      </c>
      <c r="W601" s="8" t="s">
        <v>77</v>
      </c>
      <c r="X601" s="6"/>
      <c r="Y601" s="6"/>
      <c r="Z601" s="6" t="s">
        <v>235</v>
      </c>
      <c r="AA601" s="6" t="s">
        <v>141</v>
      </c>
    </row>
    <row r="602" spans="1:27" s="4" customFormat="1" ht="42" customHeight="1">
      <c r="A602" s="5">
        <v>0</v>
      </c>
      <c r="B602" s="6" t="s">
        <v>3848</v>
      </c>
      <c r="C602" s="13">
        <v>670</v>
      </c>
      <c r="D602" s="8" t="s">
        <v>3849</v>
      </c>
      <c r="E602" s="8" t="s">
        <v>3850</v>
      </c>
      <c r="F602" s="8" t="s">
        <v>3684</v>
      </c>
      <c r="G602" s="6" t="s">
        <v>37</v>
      </c>
      <c r="H602" s="6" t="s">
        <v>38</v>
      </c>
      <c r="I602" s="8" t="s">
        <v>39</v>
      </c>
      <c r="J602" s="9">
        <v>1</v>
      </c>
      <c r="K602" s="9">
        <v>141</v>
      </c>
      <c r="L602" s="9">
        <v>2023</v>
      </c>
      <c r="M602" s="8" t="s">
        <v>3851</v>
      </c>
      <c r="N602" s="8" t="s">
        <v>74</v>
      </c>
      <c r="O602" s="8" t="s">
        <v>75</v>
      </c>
      <c r="P602" s="6" t="s">
        <v>43</v>
      </c>
      <c r="Q602" s="8" t="s">
        <v>44</v>
      </c>
      <c r="R602" s="10" t="s">
        <v>991</v>
      </c>
      <c r="S602" s="11"/>
      <c r="T602" s="6"/>
      <c r="U602" s="28" t="str">
        <f>HYPERLINK("https://media.infra-m.ru/1894/1894396/cover/1894396.jpg", "Обложка")</f>
        <v>Обложка</v>
      </c>
      <c r="V602" s="28" t="str">
        <f>HYPERLINK("https://znanium.ru/catalog/product/1894396", "Ознакомиться")</f>
        <v>Ознакомиться</v>
      </c>
      <c r="W602" s="8"/>
      <c r="X602" s="6"/>
      <c r="Y602" s="6"/>
      <c r="Z602" s="6"/>
      <c r="AA602" s="6" t="s">
        <v>111</v>
      </c>
    </row>
    <row r="603" spans="1:27" s="4" customFormat="1" ht="42" customHeight="1">
      <c r="A603" s="5">
        <v>0</v>
      </c>
      <c r="B603" s="6" t="s">
        <v>3852</v>
      </c>
      <c r="C603" s="13">
        <v>996.6</v>
      </c>
      <c r="D603" s="8" t="s">
        <v>3853</v>
      </c>
      <c r="E603" s="8" t="s">
        <v>3854</v>
      </c>
      <c r="F603" s="8"/>
      <c r="G603" s="6" t="s">
        <v>37</v>
      </c>
      <c r="H603" s="6" t="s">
        <v>38</v>
      </c>
      <c r="I603" s="8"/>
      <c r="J603" s="9">
        <v>20</v>
      </c>
      <c r="K603" s="9">
        <v>68</v>
      </c>
      <c r="L603" s="9">
        <v>2017</v>
      </c>
      <c r="M603" s="8"/>
      <c r="N603" s="8" t="s">
        <v>41</v>
      </c>
      <c r="O603" s="8" t="s">
        <v>54</v>
      </c>
      <c r="P603" s="6" t="s">
        <v>3855</v>
      </c>
      <c r="Q603" s="8" t="s">
        <v>44</v>
      </c>
      <c r="R603" s="10"/>
      <c r="S603" s="11"/>
      <c r="T603" s="6"/>
      <c r="U603" s="28" t="str">
        <f>HYPERLINK("https://media.infra-m.ru/0882/0882671/cover/882671.jpg", "Обложка")</f>
        <v>Обложка</v>
      </c>
      <c r="V603" s="28" t="str">
        <f>HYPERLINK("https://znanium.ru/catalog/product/2089345", "Ознакомиться")</f>
        <v>Ознакомиться</v>
      </c>
      <c r="W603" s="8"/>
      <c r="X603" s="6"/>
      <c r="Y603" s="6"/>
      <c r="Z603" s="6"/>
      <c r="AA603" s="6"/>
    </row>
    <row r="604" spans="1:27" s="4" customFormat="1" ht="51.95" customHeight="1">
      <c r="A604" s="5">
        <v>0</v>
      </c>
      <c r="B604" s="6" t="s">
        <v>3856</v>
      </c>
      <c r="C604" s="7">
        <v>2130</v>
      </c>
      <c r="D604" s="8" t="s">
        <v>3857</v>
      </c>
      <c r="E604" s="8" t="s">
        <v>3858</v>
      </c>
      <c r="F604" s="8" t="s">
        <v>3859</v>
      </c>
      <c r="G604" s="6" t="s">
        <v>123</v>
      </c>
      <c r="H604" s="6" t="s">
        <v>470</v>
      </c>
      <c r="I604" s="8" t="s">
        <v>155</v>
      </c>
      <c r="J604" s="9">
        <v>1</v>
      </c>
      <c r="K604" s="9">
        <v>472</v>
      </c>
      <c r="L604" s="9">
        <v>2023</v>
      </c>
      <c r="M604" s="8" t="s">
        <v>3860</v>
      </c>
      <c r="N604" s="8" t="s">
        <v>41</v>
      </c>
      <c r="O604" s="8" t="s">
        <v>42</v>
      </c>
      <c r="P604" s="6" t="s">
        <v>55</v>
      </c>
      <c r="Q604" s="8" t="s">
        <v>177</v>
      </c>
      <c r="R604" s="10" t="s">
        <v>3861</v>
      </c>
      <c r="S604" s="11" t="s">
        <v>3862</v>
      </c>
      <c r="T604" s="6"/>
      <c r="U604" s="28" t="str">
        <f>HYPERLINK("https://media.infra-m.ru/2020/2020539/cover/2020539.jpg", "Обложка")</f>
        <v>Обложка</v>
      </c>
      <c r="V604" s="28" t="str">
        <f>HYPERLINK("https://znanium.ru/catalog/product/2020539", "Ознакомиться")</f>
        <v>Ознакомиться</v>
      </c>
      <c r="W604" s="8" t="s">
        <v>3863</v>
      </c>
      <c r="X604" s="6"/>
      <c r="Y604" s="6"/>
      <c r="Z604" s="6"/>
      <c r="AA604" s="6" t="s">
        <v>47</v>
      </c>
    </row>
    <row r="605" spans="1:27" s="4" customFormat="1" ht="51.95" customHeight="1">
      <c r="A605" s="5">
        <v>0</v>
      </c>
      <c r="B605" s="6" t="s">
        <v>3864</v>
      </c>
      <c r="C605" s="7">
        <v>2200</v>
      </c>
      <c r="D605" s="8" t="s">
        <v>3865</v>
      </c>
      <c r="E605" s="8" t="s">
        <v>3866</v>
      </c>
      <c r="F605" s="8" t="s">
        <v>3867</v>
      </c>
      <c r="G605" s="6" t="s">
        <v>83</v>
      </c>
      <c r="H605" s="6" t="s">
        <v>38</v>
      </c>
      <c r="I605" s="8" t="s">
        <v>164</v>
      </c>
      <c r="J605" s="9">
        <v>1</v>
      </c>
      <c r="K605" s="9">
        <v>489</v>
      </c>
      <c r="L605" s="9">
        <v>2023</v>
      </c>
      <c r="M605" s="8" t="s">
        <v>3868</v>
      </c>
      <c r="N605" s="8" t="s">
        <v>41</v>
      </c>
      <c r="O605" s="8" t="s">
        <v>65</v>
      </c>
      <c r="P605" s="6" t="s">
        <v>55</v>
      </c>
      <c r="Q605" s="8" t="s">
        <v>56</v>
      </c>
      <c r="R605" s="10" t="s">
        <v>2083</v>
      </c>
      <c r="S605" s="11" t="s">
        <v>3869</v>
      </c>
      <c r="T605" s="6" t="s">
        <v>190</v>
      </c>
      <c r="U605" s="28" t="str">
        <f>HYPERLINK("https://media.infra-m.ru/1912/1912395/cover/1912395.jpg", "Обложка")</f>
        <v>Обложка</v>
      </c>
      <c r="V605" s="28" t="str">
        <f>HYPERLINK("https://znanium.ru/catalog/product/1912395", "Ознакомиться")</f>
        <v>Ознакомиться</v>
      </c>
      <c r="W605" s="8" t="s">
        <v>3870</v>
      </c>
      <c r="X605" s="6"/>
      <c r="Y605" s="6"/>
      <c r="Z605" s="6"/>
      <c r="AA605" s="6" t="s">
        <v>78</v>
      </c>
    </row>
    <row r="606" spans="1:27" s="4" customFormat="1" ht="51.95" customHeight="1">
      <c r="A606" s="5">
        <v>0</v>
      </c>
      <c r="B606" s="6" t="s">
        <v>3871</v>
      </c>
      <c r="C606" s="7">
        <v>1624</v>
      </c>
      <c r="D606" s="8" t="s">
        <v>3872</v>
      </c>
      <c r="E606" s="8" t="s">
        <v>3873</v>
      </c>
      <c r="F606" s="8" t="s">
        <v>3874</v>
      </c>
      <c r="G606" s="6" t="s">
        <v>123</v>
      </c>
      <c r="H606" s="6" t="s">
        <v>38</v>
      </c>
      <c r="I606" s="8" t="s">
        <v>164</v>
      </c>
      <c r="J606" s="9">
        <v>1</v>
      </c>
      <c r="K606" s="9">
        <v>358</v>
      </c>
      <c r="L606" s="9">
        <v>2023</v>
      </c>
      <c r="M606" s="8" t="s">
        <v>3875</v>
      </c>
      <c r="N606" s="8" t="s">
        <v>41</v>
      </c>
      <c r="O606" s="8" t="s">
        <v>65</v>
      </c>
      <c r="P606" s="6" t="s">
        <v>55</v>
      </c>
      <c r="Q606" s="8" t="s">
        <v>56</v>
      </c>
      <c r="R606" s="10" t="s">
        <v>3876</v>
      </c>
      <c r="S606" s="11" t="s">
        <v>3877</v>
      </c>
      <c r="T606" s="6"/>
      <c r="U606" s="28" t="str">
        <f>HYPERLINK("https://media.infra-m.ru/2006/2006940/cover/2006940.jpg", "Обложка")</f>
        <v>Обложка</v>
      </c>
      <c r="V606" s="28" t="str">
        <f>HYPERLINK("https://znanium.ru/catalog/product/1205998", "Ознакомиться")</f>
        <v>Ознакомиться</v>
      </c>
      <c r="W606" s="8" t="s">
        <v>3870</v>
      </c>
      <c r="X606" s="6"/>
      <c r="Y606" s="6"/>
      <c r="Z606" s="6"/>
      <c r="AA606" s="6" t="s">
        <v>78</v>
      </c>
    </row>
    <row r="607" spans="1:27" s="4" customFormat="1" ht="44.1" customHeight="1">
      <c r="A607" s="5">
        <v>0</v>
      </c>
      <c r="B607" s="6" t="s">
        <v>3878</v>
      </c>
      <c r="C607" s="7">
        <v>2320</v>
      </c>
      <c r="D607" s="8" t="s">
        <v>3879</v>
      </c>
      <c r="E607" s="8" t="s">
        <v>3880</v>
      </c>
      <c r="F607" s="8" t="s">
        <v>3881</v>
      </c>
      <c r="G607" s="6" t="s">
        <v>123</v>
      </c>
      <c r="H607" s="6" t="s">
        <v>38</v>
      </c>
      <c r="I607" s="8" t="s">
        <v>155</v>
      </c>
      <c r="J607" s="9">
        <v>1</v>
      </c>
      <c r="K607" s="9">
        <v>502</v>
      </c>
      <c r="L607" s="9">
        <v>2024</v>
      </c>
      <c r="M607" s="8" t="s">
        <v>3882</v>
      </c>
      <c r="N607" s="8" t="s">
        <v>41</v>
      </c>
      <c r="O607" s="8" t="s">
        <v>65</v>
      </c>
      <c r="P607" s="6" t="s">
        <v>55</v>
      </c>
      <c r="Q607" s="8" t="s">
        <v>177</v>
      </c>
      <c r="R607" s="10" t="s">
        <v>2632</v>
      </c>
      <c r="S607" s="11"/>
      <c r="T607" s="6" t="s">
        <v>190</v>
      </c>
      <c r="U607" s="28" t="str">
        <f>HYPERLINK("https://media.infra-m.ru/0997/0997106/cover/997106.jpg", "Обложка")</f>
        <v>Обложка</v>
      </c>
      <c r="V607" s="28" t="str">
        <f>HYPERLINK("https://znanium.ru/catalog/product/997106", "Ознакомиться")</f>
        <v>Ознакомиться</v>
      </c>
      <c r="W607" s="8" t="s">
        <v>1437</v>
      </c>
      <c r="X607" s="6" t="s">
        <v>179</v>
      </c>
      <c r="Y607" s="6"/>
      <c r="Z607" s="6"/>
      <c r="AA607" s="6" t="s">
        <v>180</v>
      </c>
    </row>
    <row r="608" spans="1:27" s="4" customFormat="1" ht="51.95" customHeight="1">
      <c r="A608" s="5">
        <v>0</v>
      </c>
      <c r="B608" s="6" t="s">
        <v>3883</v>
      </c>
      <c r="C608" s="7">
        <v>1274.9000000000001</v>
      </c>
      <c r="D608" s="8" t="s">
        <v>3884</v>
      </c>
      <c r="E608" s="8" t="s">
        <v>3885</v>
      </c>
      <c r="F608" s="8" t="s">
        <v>3886</v>
      </c>
      <c r="G608" s="6" t="s">
        <v>37</v>
      </c>
      <c r="H608" s="6" t="s">
        <v>52</v>
      </c>
      <c r="I608" s="8" t="s">
        <v>884</v>
      </c>
      <c r="J608" s="9">
        <v>1</v>
      </c>
      <c r="K608" s="9">
        <v>336</v>
      </c>
      <c r="L608" s="9">
        <v>2022</v>
      </c>
      <c r="M608" s="8" t="s">
        <v>3887</v>
      </c>
      <c r="N608" s="8" t="s">
        <v>41</v>
      </c>
      <c r="O608" s="8" t="s">
        <v>65</v>
      </c>
      <c r="P608" s="6" t="s">
        <v>55</v>
      </c>
      <c r="Q608" s="8" t="s">
        <v>594</v>
      </c>
      <c r="R608" s="10" t="s">
        <v>3888</v>
      </c>
      <c r="S608" s="11" t="s">
        <v>3889</v>
      </c>
      <c r="T608" s="6"/>
      <c r="U608" s="28" t="str">
        <f>HYPERLINK("https://media.infra-m.ru/1854/1854794/cover/1854794.jpg", "Обложка")</f>
        <v>Обложка</v>
      </c>
      <c r="V608" s="28" t="str">
        <f>HYPERLINK("https://znanium.ru/catalog/product/1081958", "Ознакомиться")</f>
        <v>Ознакомиться</v>
      </c>
      <c r="W608" s="8" t="s">
        <v>210</v>
      </c>
      <c r="X608" s="6"/>
      <c r="Y608" s="6"/>
      <c r="Z608" s="6"/>
      <c r="AA608" s="6" t="s">
        <v>364</v>
      </c>
    </row>
    <row r="609" spans="1:27" s="4" customFormat="1" ht="42" customHeight="1">
      <c r="A609" s="5">
        <v>0</v>
      </c>
      <c r="B609" s="6" t="s">
        <v>3890</v>
      </c>
      <c r="C609" s="13">
        <v>691.9</v>
      </c>
      <c r="D609" s="8" t="s">
        <v>3891</v>
      </c>
      <c r="E609" s="8" t="s">
        <v>3892</v>
      </c>
      <c r="F609" s="8" t="s">
        <v>3893</v>
      </c>
      <c r="G609" s="6" t="s">
        <v>37</v>
      </c>
      <c r="H609" s="6" t="s">
        <v>1701</v>
      </c>
      <c r="I609" s="8"/>
      <c r="J609" s="9">
        <v>20</v>
      </c>
      <c r="K609" s="9">
        <v>440</v>
      </c>
      <c r="L609" s="9">
        <v>2016</v>
      </c>
      <c r="M609" s="8" t="s">
        <v>3894</v>
      </c>
      <c r="N609" s="8" t="s">
        <v>41</v>
      </c>
      <c r="O609" s="8" t="s">
        <v>65</v>
      </c>
      <c r="P609" s="6" t="s">
        <v>3895</v>
      </c>
      <c r="Q609" s="8" t="s">
        <v>44</v>
      </c>
      <c r="R609" s="10"/>
      <c r="S609" s="11"/>
      <c r="T609" s="6"/>
      <c r="U609" s="28" t="str">
        <f>HYPERLINK("https://media.infra-m.ru/0763/0763540/cover/763540.jpg", "Обложка")</f>
        <v>Обложка</v>
      </c>
      <c r="V609" s="12"/>
      <c r="W609" s="8" t="s">
        <v>1028</v>
      </c>
      <c r="X609" s="6"/>
      <c r="Y609" s="6"/>
      <c r="Z609" s="6"/>
      <c r="AA609" s="6" t="s">
        <v>364</v>
      </c>
    </row>
    <row r="610" spans="1:27" s="4" customFormat="1" ht="44.1" customHeight="1">
      <c r="A610" s="5">
        <v>0</v>
      </c>
      <c r="B610" s="6" t="s">
        <v>3896</v>
      </c>
      <c r="C610" s="13">
        <v>730</v>
      </c>
      <c r="D610" s="8" t="s">
        <v>3897</v>
      </c>
      <c r="E610" s="8" t="s">
        <v>3898</v>
      </c>
      <c r="F610" s="8" t="s">
        <v>3899</v>
      </c>
      <c r="G610" s="6" t="s">
        <v>83</v>
      </c>
      <c r="H610" s="6" t="s">
        <v>470</v>
      </c>
      <c r="I610" s="8" t="s">
        <v>1040</v>
      </c>
      <c r="J610" s="9">
        <v>1</v>
      </c>
      <c r="K610" s="9">
        <v>187</v>
      </c>
      <c r="L610" s="9">
        <v>2022</v>
      </c>
      <c r="M610" s="8" t="s">
        <v>3900</v>
      </c>
      <c r="N610" s="8" t="s">
        <v>41</v>
      </c>
      <c r="O610" s="8" t="s">
        <v>54</v>
      </c>
      <c r="P610" s="6" t="s">
        <v>43</v>
      </c>
      <c r="Q610" s="8" t="s">
        <v>1340</v>
      </c>
      <c r="R610" s="10" t="s">
        <v>3901</v>
      </c>
      <c r="S610" s="11"/>
      <c r="T610" s="6"/>
      <c r="U610" s="28" t="str">
        <f>HYPERLINK("https://media.infra-m.ru/1836/1836583/cover/1836583.jpg", "Обложка")</f>
        <v>Обложка</v>
      </c>
      <c r="V610" s="28" t="str">
        <f>HYPERLINK("https://znanium.ru/catalog/product/1836583", "Ознакомиться")</f>
        <v>Ознакомиться</v>
      </c>
      <c r="W610" s="8" t="s">
        <v>1771</v>
      </c>
      <c r="X610" s="6"/>
      <c r="Y610" s="6"/>
      <c r="Z610" s="6"/>
      <c r="AA610" s="6" t="s">
        <v>364</v>
      </c>
    </row>
    <row r="611" spans="1:27" s="4" customFormat="1" ht="42" customHeight="1">
      <c r="A611" s="5">
        <v>0</v>
      </c>
      <c r="B611" s="6" t="s">
        <v>3902</v>
      </c>
      <c r="C611" s="13">
        <v>930</v>
      </c>
      <c r="D611" s="8" t="s">
        <v>3903</v>
      </c>
      <c r="E611" s="8" t="s">
        <v>3904</v>
      </c>
      <c r="F611" s="8" t="s">
        <v>3905</v>
      </c>
      <c r="G611" s="6" t="s">
        <v>37</v>
      </c>
      <c r="H611" s="6" t="s">
        <v>38</v>
      </c>
      <c r="I611" s="8" t="s">
        <v>39</v>
      </c>
      <c r="J611" s="9">
        <v>1</v>
      </c>
      <c r="K611" s="9">
        <v>192</v>
      </c>
      <c r="L611" s="9">
        <v>2024</v>
      </c>
      <c r="M611" s="8" t="s">
        <v>3906</v>
      </c>
      <c r="N611" s="8" t="s">
        <v>74</v>
      </c>
      <c r="O611" s="8" t="s">
        <v>1559</v>
      </c>
      <c r="P611" s="6" t="s">
        <v>43</v>
      </c>
      <c r="Q611" s="8" t="s">
        <v>44</v>
      </c>
      <c r="R611" s="10" t="s">
        <v>3907</v>
      </c>
      <c r="S611" s="11"/>
      <c r="T611" s="6"/>
      <c r="U611" s="28" t="str">
        <f>HYPERLINK("https://media.infra-m.ru/2074/2074251/cover/2074251.jpg", "Обложка")</f>
        <v>Обложка</v>
      </c>
      <c r="V611" s="28" t="str">
        <f>HYPERLINK("https://znanium.ru/catalog/product/2074251", "Ознакомиться")</f>
        <v>Ознакомиться</v>
      </c>
      <c r="W611" s="8" t="s">
        <v>2765</v>
      </c>
      <c r="X611" s="6" t="s">
        <v>734</v>
      </c>
      <c r="Y611" s="6"/>
      <c r="Z611" s="6"/>
      <c r="AA611" s="6" t="s">
        <v>180</v>
      </c>
    </row>
    <row r="612" spans="1:27" s="4" customFormat="1" ht="42" customHeight="1">
      <c r="A612" s="5">
        <v>0</v>
      </c>
      <c r="B612" s="6" t="s">
        <v>3908</v>
      </c>
      <c r="C612" s="13">
        <v>890</v>
      </c>
      <c r="D612" s="8" t="s">
        <v>3909</v>
      </c>
      <c r="E612" s="8" t="s">
        <v>3910</v>
      </c>
      <c r="F612" s="8" t="s">
        <v>3911</v>
      </c>
      <c r="G612" s="6" t="s">
        <v>37</v>
      </c>
      <c r="H612" s="6" t="s">
        <v>38</v>
      </c>
      <c r="I612" s="8" t="s">
        <v>39</v>
      </c>
      <c r="J612" s="9">
        <v>1</v>
      </c>
      <c r="K612" s="9">
        <v>191</v>
      </c>
      <c r="L612" s="9">
        <v>2023</v>
      </c>
      <c r="M612" s="8" t="s">
        <v>3912</v>
      </c>
      <c r="N612" s="8" t="s">
        <v>41</v>
      </c>
      <c r="O612" s="8" t="s">
        <v>65</v>
      </c>
      <c r="P612" s="6" t="s">
        <v>43</v>
      </c>
      <c r="Q612" s="8" t="s">
        <v>44</v>
      </c>
      <c r="R612" s="10" t="s">
        <v>3913</v>
      </c>
      <c r="S612" s="11"/>
      <c r="T612" s="6"/>
      <c r="U612" s="28" t="str">
        <f>HYPERLINK("https://media.infra-m.ru/1876/1876937/cover/1876937.jpg", "Обложка")</f>
        <v>Обложка</v>
      </c>
      <c r="V612" s="28" t="str">
        <f>HYPERLINK("https://znanium.ru/catalog/product/1876937", "Ознакомиться")</f>
        <v>Ознакомиться</v>
      </c>
      <c r="W612" s="8" t="s">
        <v>3914</v>
      </c>
      <c r="X612" s="6"/>
      <c r="Y612" s="6"/>
      <c r="Z612" s="6"/>
      <c r="AA612" s="6" t="s">
        <v>111</v>
      </c>
    </row>
    <row r="613" spans="1:27" s="4" customFormat="1" ht="42" customHeight="1">
      <c r="A613" s="5">
        <v>0</v>
      </c>
      <c r="B613" s="6" t="s">
        <v>3915</v>
      </c>
      <c r="C613" s="7">
        <v>1994</v>
      </c>
      <c r="D613" s="8" t="s">
        <v>3916</v>
      </c>
      <c r="E613" s="8" t="s">
        <v>3917</v>
      </c>
      <c r="F613" s="8" t="s">
        <v>966</v>
      </c>
      <c r="G613" s="6" t="s">
        <v>123</v>
      </c>
      <c r="H613" s="6" t="s">
        <v>52</v>
      </c>
      <c r="I613" s="8" t="s">
        <v>155</v>
      </c>
      <c r="J613" s="9">
        <v>1</v>
      </c>
      <c r="K613" s="9">
        <v>432</v>
      </c>
      <c r="L613" s="9">
        <v>2024</v>
      </c>
      <c r="M613" s="8" t="s">
        <v>3918</v>
      </c>
      <c r="N613" s="8" t="s">
        <v>41</v>
      </c>
      <c r="O613" s="8" t="s">
        <v>54</v>
      </c>
      <c r="P613" s="6" t="s">
        <v>55</v>
      </c>
      <c r="Q613" s="8" t="s">
        <v>56</v>
      </c>
      <c r="R613" s="10" t="s">
        <v>440</v>
      </c>
      <c r="S613" s="11"/>
      <c r="T613" s="6"/>
      <c r="U613" s="28" t="str">
        <f>HYPERLINK("https://media.infra-m.ru/2094/2094522/cover/2094522.jpg", "Обложка")</f>
        <v>Обложка</v>
      </c>
      <c r="V613" s="12"/>
      <c r="W613" s="8" t="s">
        <v>969</v>
      </c>
      <c r="X613" s="6"/>
      <c r="Y613" s="6"/>
      <c r="Z613" s="6"/>
      <c r="AA613" s="6" t="s">
        <v>47</v>
      </c>
    </row>
    <row r="614" spans="1:27" s="4" customFormat="1" ht="51.95" customHeight="1">
      <c r="A614" s="5">
        <v>0</v>
      </c>
      <c r="B614" s="6" t="s">
        <v>3919</v>
      </c>
      <c r="C614" s="13">
        <v>990</v>
      </c>
      <c r="D614" s="8" t="s">
        <v>3920</v>
      </c>
      <c r="E614" s="8" t="s">
        <v>3921</v>
      </c>
      <c r="F614" s="8" t="s">
        <v>3922</v>
      </c>
      <c r="G614" s="6" t="s">
        <v>37</v>
      </c>
      <c r="H614" s="6" t="s">
        <v>38</v>
      </c>
      <c r="I614" s="8" t="s">
        <v>39</v>
      </c>
      <c r="J614" s="9">
        <v>1</v>
      </c>
      <c r="K614" s="9">
        <v>202</v>
      </c>
      <c r="L614" s="9">
        <v>2024</v>
      </c>
      <c r="M614" s="8" t="s">
        <v>3923</v>
      </c>
      <c r="N614" s="8" t="s">
        <v>41</v>
      </c>
      <c r="O614" s="8" t="s">
        <v>42</v>
      </c>
      <c r="P614" s="6" t="s">
        <v>43</v>
      </c>
      <c r="Q614" s="8" t="s">
        <v>44</v>
      </c>
      <c r="R614" s="10" t="s">
        <v>3924</v>
      </c>
      <c r="S614" s="11"/>
      <c r="T614" s="6"/>
      <c r="U614" s="28" t="str">
        <f>HYPERLINK("https://media.infra-m.ru/2116/2116952/cover/2116952.jpg", "Обложка")</f>
        <v>Обложка</v>
      </c>
      <c r="V614" s="28" t="str">
        <f>HYPERLINK("https://znanium.ru/catalog/product/2116952", "Ознакомиться")</f>
        <v>Ознакомиться</v>
      </c>
      <c r="W614" s="8" t="s">
        <v>3925</v>
      </c>
      <c r="X614" s="6"/>
      <c r="Y614" s="6"/>
      <c r="Z614" s="6"/>
      <c r="AA614" s="6" t="s">
        <v>111</v>
      </c>
    </row>
    <row r="615" spans="1:27" s="4" customFormat="1" ht="42" customHeight="1">
      <c r="A615" s="5">
        <v>0</v>
      </c>
      <c r="B615" s="6" t="s">
        <v>3926</v>
      </c>
      <c r="C615" s="7">
        <v>1220</v>
      </c>
      <c r="D615" s="8" t="s">
        <v>3927</v>
      </c>
      <c r="E615" s="8" t="s">
        <v>3928</v>
      </c>
      <c r="F615" s="8" t="s">
        <v>3929</v>
      </c>
      <c r="G615" s="6" t="s">
        <v>37</v>
      </c>
      <c r="H615" s="6" t="s">
        <v>38</v>
      </c>
      <c r="I615" s="8" t="s">
        <v>39</v>
      </c>
      <c r="J615" s="9">
        <v>1</v>
      </c>
      <c r="K615" s="9">
        <v>271</v>
      </c>
      <c r="L615" s="9">
        <v>2022</v>
      </c>
      <c r="M615" s="8" t="s">
        <v>3930</v>
      </c>
      <c r="N615" s="8" t="s">
        <v>74</v>
      </c>
      <c r="O615" s="8" t="s">
        <v>75</v>
      </c>
      <c r="P615" s="6" t="s">
        <v>43</v>
      </c>
      <c r="Q615" s="8" t="s">
        <v>44</v>
      </c>
      <c r="R615" s="10" t="s">
        <v>3931</v>
      </c>
      <c r="S615" s="11"/>
      <c r="T615" s="6"/>
      <c r="U615" s="28" t="str">
        <f>HYPERLINK("https://media.infra-m.ru/1863/1863251/cover/1863251.jpg", "Обложка")</f>
        <v>Обложка</v>
      </c>
      <c r="V615" s="28" t="str">
        <f>HYPERLINK("https://znanium.ru/catalog/product/1863251", "Ознакомиться")</f>
        <v>Ознакомиться</v>
      </c>
      <c r="W615" s="8" t="s">
        <v>3932</v>
      </c>
      <c r="X615" s="6"/>
      <c r="Y615" s="6"/>
      <c r="Z615" s="6"/>
      <c r="AA615" s="6" t="s">
        <v>103</v>
      </c>
    </row>
    <row r="616" spans="1:27" s="4" customFormat="1" ht="42" customHeight="1">
      <c r="A616" s="5">
        <v>0</v>
      </c>
      <c r="B616" s="6" t="s">
        <v>3933</v>
      </c>
      <c r="C616" s="7">
        <v>1080</v>
      </c>
      <c r="D616" s="8" t="s">
        <v>3934</v>
      </c>
      <c r="E616" s="8" t="s">
        <v>3935</v>
      </c>
      <c r="F616" s="8" t="s">
        <v>3936</v>
      </c>
      <c r="G616" s="6" t="s">
        <v>37</v>
      </c>
      <c r="H616" s="6" t="s">
        <v>38</v>
      </c>
      <c r="I616" s="8" t="s">
        <v>39</v>
      </c>
      <c r="J616" s="9">
        <v>1</v>
      </c>
      <c r="K616" s="9">
        <v>251</v>
      </c>
      <c r="L616" s="9">
        <v>2022</v>
      </c>
      <c r="M616" s="8" t="s">
        <v>3937</v>
      </c>
      <c r="N616" s="8" t="s">
        <v>41</v>
      </c>
      <c r="O616" s="8" t="s">
        <v>65</v>
      </c>
      <c r="P616" s="6" t="s">
        <v>43</v>
      </c>
      <c r="Q616" s="8" t="s">
        <v>44</v>
      </c>
      <c r="R616" s="10" t="s">
        <v>3938</v>
      </c>
      <c r="S616" s="11"/>
      <c r="T616" s="6"/>
      <c r="U616" s="28" t="str">
        <f>HYPERLINK("https://media.infra-m.ru/1856/1856782/cover/1856782.jpg", "Обложка")</f>
        <v>Обложка</v>
      </c>
      <c r="V616" s="28" t="str">
        <f>HYPERLINK("https://znanium.ru/catalog/product/1856782", "Ознакомиться")</f>
        <v>Ознакомиться</v>
      </c>
      <c r="W616" s="8" t="s">
        <v>998</v>
      </c>
      <c r="X616" s="6"/>
      <c r="Y616" s="6"/>
      <c r="Z616" s="6"/>
      <c r="AA616" s="6" t="s">
        <v>650</v>
      </c>
    </row>
    <row r="617" spans="1:27" s="4" customFormat="1" ht="51.95" customHeight="1">
      <c r="A617" s="5">
        <v>0</v>
      </c>
      <c r="B617" s="6" t="s">
        <v>3939</v>
      </c>
      <c r="C617" s="7">
        <v>1994</v>
      </c>
      <c r="D617" s="8" t="s">
        <v>3940</v>
      </c>
      <c r="E617" s="8" t="s">
        <v>3941</v>
      </c>
      <c r="F617" s="8" t="s">
        <v>3942</v>
      </c>
      <c r="G617" s="6" t="s">
        <v>123</v>
      </c>
      <c r="H617" s="6" t="s">
        <v>618</v>
      </c>
      <c r="I617" s="8"/>
      <c r="J617" s="9">
        <v>1</v>
      </c>
      <c r="K617" s="9">
        <v>640</v>
      </c>
      <c r="L617" s="9">
        <v>2023</v>
      </c>
      <c r="M617" s="8" t="s">
        <v>3943</v>
      </c>
      <c r="N617" s="8" t="s">
        <v>74</v>
      </c>
      <c r="O617" s="8" t="s">
        <v>109</v>
      </c>
      <c r="P617" s="6" t="s">
        <v>176</v>
      </c>
      <c r="Q617" s="8" t="s">
        <v>177</v>
      </c>
      <c r="R617" s="10" t="s">
        <v>3944</v>
      </c>
      <c r="S617" s="11" t="s">
        <v>3945</v>
      </c>
      <c r="T617" s="6"/>
      <c r="U617" s="12"/>
      <c r="V617" s="28" t="str">
        <f>HYPERLINK("https://znanium.ru/catalog/product/911024", "Ознакомиться")</f>
        <v>Ознакомиться</v>
      </c>
      <c r="W617" s="8" t="s">
        <v>1334</v>
      </c>
      <c r="X617" s="6"/>
      <c r="Y617" s="6"/>
      <c r="Z617" s="6"/>
      <c r="AA617" s="6" t="s">
        <v>861</v>
      </c>
    </row>
    <row r="618" spans="1:27" s="4" customFormat="1" ht="51.95" customHeight="1">
      <c r="A618" s="5">
        <v>0</v>
      </c>
      <c r="B618" s="6" t="s">
        <v>3946</v>
      </c>
      <c r="C618" s="7">
        <v>1644</v>
      </c>
      <c r="D618" s="8" t="s">
        <v>3947</v>
      </c>
      <c r="E618" s="8" t="s">
        <v>3948</v>
      </c>
      <c r="F618" s="8" t="s">
        <v>1161</v>
      </c>
      <c r="G618" s="6" t="s">
        <v>83</v>
      </c>
      <c r="H618" s="6" t="s">
        <v>470</v>
      </c>
      <c r="I618" s="8"/>
      <c r="J618" s="9">
        <v>1</v>
      </c>
      <c r="K618" s="9">
        <v>349</v>
      </c>
      <c r="L618" s="9">
        <v>2024</v>
      </c>
      <c r="M618" s="8" t="s">
        <v>3949</v>
      </c>
      <c r="N618" s="8" t="s">
        <v>74</v>
      </c>
      <c r="O618" s="8" t="s">
        <v>109</v>
      </c>
      <c r="P618" s="6" t="s">
        <v>55</v>
      </c>
      <c r="Q618" s="8" t="s">
        <v>56</v>
      </c>
      <c r="R618" s="10" t="s">
        <v>3950</v>
      </c>
      <c r="S618" s="11"/>
      <c r="T618" s="6"/>
      <c r="U618" s="28" t="str">
        <f>HYPERLINK("https://media.infra-m.ru/2096/2096840/cover/2096840.jpg", "Обложка")</f>
        <v>Обложка</v>
      </c>
      <c r="V618" s="28" t="str">
        <f>HYPERLINK("https://znanium.ru/catalog/product/1789530", "Ознакомиться")</f>
        <v>Ознакомиться</v>
      </c>
      <c r="W618" s="8" t="s">
        <v>1165</v>
      </c>
      <c r="X618" s="6"/>
      <c r="Y618" s="6"/>
      <c r="Z618" s="6"/>
      <c r="AA618" s="6" t="s">
        <v>59</v>
      </c>
    </row>
    <row r="619" spans="1:27" s="4" customFormat="1" ht="51.95" customHeight="1">
      <c r="A619" s="5">
        <v>0</v>
      </c>
      <c r="B619" s="6" t="s">
        <v>3951</v>
      </c>
      <c r="C619" s="13">
        <v>630</v>
      </c>
      <c r="D619" s="8" t="s">
        <v>3952</v>
      </c>
      <c r="E619" s="8" t="s">
        <v>3953</v>
      </c>
      <c r="F619" s="8" t="s">
        <v>3954</v>
      </c>
      <c r="G619" s="6" t="s">
        <v>83</v>
      </c>
      <c r="H619" s="6" t="s">
        <v>470</v>
      </c>
      <c r="I619" s="8"/>
      <c r="J619" s="9">
        <v>1</v>
      </c>
      <c r="K619" s="9">
        <v>196</v>
      </c>
      <c r="L619" s="9">
        <v>2019</v>
      </c>
      <c r="M619" s="8" t="s">
        <v>3955</v>
      </c>
      <c r="N619" s="8" t="s">
        <v>74</v>
      </c>
      <c r="O619" s="8" t="s">
        <v>109</v>
      </c>
      <c r="P619" s="6" t="s">
        <v>55</v>
      </c>
      <c r="Q619" s="8" t="s">
        <v>56</v>
      </c>
      <c r="R619" s="10" t="s">
        <v>3956</v>
      </c>
      <c r="S619" s="11"/>
      <c r="T619" s="6"/>
      <c r="U619" s="28" t="str">
        <f>HYPERLINK("https://media.infra-m.ru/0993/0993453/cover/993453.jpg", "Обложка")</f>
        <v>Обложка</v>
      </c>
      <c r="V619" s="28" t="str">
        <f>HYPERLINK("https://znanium.ru/catalog/product/2084197", "Ознакомиться")</f>
        <v>Ознакомиться</v>
      </c>
      <c r="W619" s="8" t="s">
        <v>2726</v>
      </c>
      <c r="X619" s="6"/>
      <c r="Y619" s="6"/>
      <c r="Z619" s="6"/>
      <c r="AA619" s="6" t="s">
        <v>3957</v>
      </c>
    </row>
    <row r="620" spans="1:27" s="4" customFormat="1" ht="51.95" customHeight="1">
      <c r="A620" s="5">
        <v>0</v>
      </c>
      <c r="B620" s="6" t="s">
        <v>3958</v>
      </c>
      <c r="C620" s="13">
        <v>900</v>
      </c>
      <c r="D620" s="8" t="s">
        <v>3959</v>
      </c>
      <c r="E620" s="8" t="s">
        <v>3960</v>
      </c>
      <c r="F620" s="8" t="s">
        <v>3954</v>
      </c>
      <c r="G620" s="6" t="s">
        <v>83</v>
      </c>
      <c r="H620" s="6" t="s">
        <v>38</v>
      </c>
      <c r="I620" s="8" t="s">
        <v>155</v>
      </c>
      <c r="J620" s="9">
        <v>1</v>
      </c>
      <c r="K620" s="9">
        <v>196</v>
      </c>
      <c r="L620" s="9">
        <v>2024</v>
      </c>
      <c r="M620" s="8" t="s">
        <v>3961</v>
      </c>
      <c r="N620" s="8" t="s">
        <v>74</v>
      </c>
      <c r="O620" s="8" t="s">
        <v>109</v>
      </c>
      <c r="P620" s="6" t="s">
        <v>55</v>
      </c>
      <c r="Q620" s="8" t="s">
        <v>56</v>
      </c>
      <c r="R620" s="10" t="s">
        <v>3956</v>
      </c>
      <c r="S620" s="11" t="s">
        <v>3962</v>
      </c>
      <c r="T620" s="6"/>
      <c r="U620" s="28" t="str">
        <f>HYPERLINK("https://media.infra-m.ru/2084/2084197/cover/2084197.jpg", "Обложка")</f>
        <v>Обложка</v>
      </c>
      <c r="V620" s="28" t="str">
        <f>HYPERLINK("https://znanium.ru/catalog/product/2084197", "Ознакомиться")</f>
        <v>Ознакомиться</v>
      </c>
      <c r="W620" s="8" t="s">
        <v>2726</v>
      </c>
      <c r="X620" s="6"/>
      <c r="Y620" s="6"/>
      <c r="Z620" s="6"/>
      <c r="AA620" s="6" t="s">
        <v>3963</v>
      </c>
    </row>
    <row r="621" spans="1:27" s="4" customFormat="1" ht="51.95" customHeight="1">
      <c r="A621" s="5">
        <v>0</v>
      </c>
      <c r="B621" s="6" t="s">
        <v>3964</v>
      </c>
      <c r="C621" s="13">
        <v>940</v>
      </c>
      <c r="D621" s="8" t="s">
        <v>3965</v>
      </c>
      <c r="E621" s="8" t="s">
        <v>3960</v>
      </c>
      <c r="F621" s="8" t="s">
        <v>3954</v>
      </c>
      <c r="G621" s="6" t="s">
        <v>83</v>
      </c>
      <c r="H621" s="6" t="s">
        <v>38</v>
      </c>
      <c r="I621" s="8" t="s">
        <v>205</v>
      </c>
      <c r="J621" s="9">
        <v>1</v>
      </c>
      <c r="K621" s="9">
        <v>196</v>
      </c>
      <c r="L621" s="9">
        <v>2024</v>
      </c>
      <c r="M621" s="8" t="s">
        <v>3966</v>
      </c>
      <c r="N621" s="8" t="s">
        <v>74</v>
      </c>
      <c r="O621" s="8" t="s">
        <v>109</v>
      </c>
      <c r="P621" s="6" t="s">
        <v>55</v>
      </c>
      <c r="Q621" s="8" t="s">
        <v>207</v>
      </c>
      <c r="R621" s="10" t="s">
        <v>3967</v>
      </c>
      <c r="S621" s="11" t="s">
        <v>3968</v>
      </c>
      <c r="T621" s="6"/>
      <c r="U621" s="28" t="str">
        <f>HYPERLINK("https://media.infra-m.ru/2132/2132500/cover/2132500.jpg", "Обложка")</f>
        <v>Обложка</v>
      </c>
      <c r="V621" s="28" t="str">
        <f>HYPERLINK("https://znanium.ru/catalog/product/2132500", "Ознакомиться")</f>
        <v>Ознакомиться</v>
      </c>
      <c r="W621" s="8" t="s">
        <v>2726</v>
      </c>
      <c r="X621" s="6"/>
      <c r="Y621" s="6"/>
      <c r="Z621" s="6" t="s">
        <v>235</v>
      </c>
      <c r="AA621" s="6" t="s">
        <v>3963</v>
      </c>
    </row>
    <row r="622" spans="1:27" s="4" customFormat="1" ht="51.95" customHeight="1">
      <c r="A622" s="5">
        <v>0</v>
      </c>
      <c r="B622" s="6" t="s">
        <v>3969</v>
      </c>
      <c r="C622" s="7">
        <v>2870</v>
      </c>
      <c r="D622" s="8" t="s">
        <v>3970</v>
      </c>
      <c r="E622" s="8" t="s">
        <v>3971</v>
      </c>
      <c r="F622" s="8" t="s">
        <v>2687</v>
      </c>
      <c r="G622" s="6" t="s">
        <v>123</v>
      </c>
      <c r="H622" s="6" t="s">
        <v>38</v>
      </c>
      <c r="I622" s="8" t="s">
        <v>155</v>
      </c>
      <c r="J622" s="9">
        <v>1</v>
      </c>
      <c r="K622" s="9">
        <v>625</v>
      </c>
      <c r="L622" s="9">
        <v>2023</v>
      </c>
      <c r="M622" s="8" t="s">
        <v>3972</v>
      </c>
      <c r="N622" s="8" t="s">
        <v>74</v>
      </c>
      <c r="O622" s="8" t="s">
        <v>109</v>
      </c>
      <c r="P622" s="6" t="s">
        <v>55</v>
      </c>
      <c r="Q622" s="8" t="s">
        <v>177</v>
      </c>
      <c r="R622" s="10" t="s">
        <v>3973</v>
      </c>
      <c r="S622" s="11" t="s">
        <v>3974</v>
      </c>
      <c r="T622" s="6"/>
      <c r="U622" s="28" t="str">
        <f>HYPERLINK("https://media.infra-m.ru/2001/2001665/cover/2001665.jpg", "Обложка")</f>
        <v>Обложка</v>
      </c>
      <c r="V622" s="28" t="str">
        <f>HYPERLINK("https://znanium.ru/catalog/product/2001665", "Ознакомиться")</f>
        <v>Ознакомиться</v>
      </c>
      <c r="W622" s="8" t="s">
        <v>58</v>
      </c>
      <c r="X622" s="6"/>
      <c r="Y622" s="6"/>
      <c r="Z622" s="6"/>
      <c r="AA622" s="6" t="s">
        <v>2321</v>
      </c>
    </row>
    <row r="623" spans="1:27" s="4" customFormat="1" ht="51.95" customHeight="1">
      <c r="A623" s="5">
        <v>0</v>
      </c>
      <c r="B623" s="6" t="s">
        <v>3975</v>
      </c>
      <c r="C623" s="7">
        <v>1454</v>
      </c>
      <c r="D623" s="8" t="s">
        <v>3976</v>
      </c>
      <c r="E623" s="8" t="s">
        <v>3977</v>
      </c>
      <c r="F623" s="8" t="s">
        <v>3978</v>
      </c>
      <c r="G623" s="6" t="s">
        <v>123</v>
      </c>
      <c r="H623" s="6" t="s">
        <v>38</v>
      </c>
      <c r="I623" s="8" t="s">
        <v>164</v>
      </c>
      <c r="J623" s="9">
        <v>1</v>
      </c>
      <c r="K623" s="9">
        <v>496</v>
      </c>
      <c r="L623" s="9">
        <v>2018</v>
      </c>
      <c r="M623" s="8" t="s">
        <v>3979</v>
      </c>
      <c r="N623" s="8" t="s">
        <v>74</v>
      </c>
      <c r="O623" s="8" t="s">
        <v>109</v>
      </c>
      <c r="P623" s="6" t="s">
        <v>55</v>
      </c>
      <c r="Q623" s="8" t="s">
        <v>56</v>
      </c>
      <c r="R623" s="10" t="s">
        <v>3980</v>
      </c>
      <c r="S623" s="11" t="s">
        <v>3981</v>
      </c>
      <c r="T623" s="6"/>
      <c r="U623" s="28" t="str">
        <f>HYPERLINK("https://media.infra-m.ru/2081/2081860/cover/2081860.jpg", "Обложка")</f>
        <v>Обложка</v>
      </c>
      <c r="V623" s="28" t="str">
        <f>HYPERLINK("https://znanium.ru/catalog/product/2033514", "Ознакомиться")</f>
        <v>Ознакомиться</v>
      </c>
      <c r="W623" s="8" t="s">
        <v>1472</v>
      </c>
      <c r="X623" s="6"/>
      <c r="Y623" s="6"/>
      <c r="Z623" s="6"/>
      <c r="AA623" s="6" t="s">
        <v>312</v>
      </c>
    </row>
    <row r="624" spans="1:27" s="4" customFormat="1" ht="51.95" customHeight="1">
      <c r="A624" s="5">
        <v>0</v>
      </c>
      <c r="B624" s="6" t="s">
        <v>3982</v>
      </c>
      <c r="C624" s="7">
        <v>1120</v>
      </c>
      <c r="D624" s="8" t="s">
        <v>3983</v>
      </c>
      <c r="E624" s="8" t="s">
        <v>3984</v>
      </c>
      <c r="F624" s="8" t="s">
        <v>3985</v>
      </c>
      <c r="G624" s="6" t="s">
        <v>83</v>
      </c>
      <c r="H624" s="6" t="s">
        <v>38</v>
      </c>
      <c r="I624" s="8" t="s">
        <v>155</v>
      </c>
      <c r="J624" s="9">
        <v>1</v>
      </c>
      <c r="K624" s="9">
        <v>236</v>
      </c>
      <c r="L624" s="9">
        <v>2024</v>
      </c>
      <c r="M624" s="8" t="s">
        <v>3986</v>
      </c>
      <c r="N624" s="8" t="s">
        <v>41</v>
      </c>
      <c r="O624" s="8" t="s">
        <v>65</v>
      </c>
      <c r="P624" s="6" t="s">
        <v>55</v>
      </c>
      <c r="Q624" s="8" t="s">
        <v>56</v>
      </c>
      <c r="R624" s="10" t="s">
        <v>3987</v>
      </c>
      <c r="S624" s="11" t="s">
        <v>3988</v>
      </c>
      <c r="T624" s="6"/>
      <c r="U624" s="28" t="str">
        <f>HYPERLINK("https://media.infra-m.ru/2132/2132998/cover/2132998.jpg", "Обложка")</f>
        <v>Обложка</v>
      </c>
      <c r="V624" s="28" t="str">
        <f>HYPERLINK("https://znanium.ru/catalog/product/2132998", "Ознакомиться")</f>
        <v>Ознакомиться</v>
      </c>
      <c r="W624" s="8" t="s">
        <v>3394</v>
      </c>
      <c r="X624" s="6"/>
      <c r="Y624" s="6"/>
      <c r="Z624" s="6"/>
      <c r="AA624" s="6" t="s">
        <v>2704</v>
      </c>
    </row>
    <row r="625" spans="1:27" s="4" customFormat="1" ht="51.95" customHeight="1">
      <c r="A625" s="5">
        <v>0</v>
      </c>
      <c r="B625" s="6" t="s">
        <v>3989</v>
      </c>
      <c r="C625" s="7">
        <v>2900</v>
      </c>
      <c r="D625" s="8" t="s">
        <v>3990</v>
      </c>
      <c r="E625" s="8" t="s">
        <v>3991</v>
      </c>
      <c r="F625" s="8" t="s">
        <v>3992</v>
      </c>
      <c r="G625" s="6" t="s">
        <v>83</v>
      </c>
      <c r="H625" s="6" t="s">
        <v>38</v>
      </c>
      <c r="I625" s="8" t="s">
        <v>155</v>
      </c>
      <c r="J625" s="9">
        <v>1</v>
      </c>
      <c r="K625" s="9">
        <v>654</v>
      </c>
      <c r="L625" s="9">
        <v>2023</v>
      </c>
      <c r="M625" s="8" t="s">
        <v>3993</v>
      </c>
      <c r="N625" s="8" t="s">
        <v>41</v>
      </c>
      <c r="O625" s="8" t="s">
        <v>65</v>
      </c>
      <c r="P625" s="6" t="s">
        <v>55</v>
      </c>
      <c r="Q625" s="8" t="s">
        <v>56</v>
      </c>
      <c r="R625" s="10" t="s">
        <v>3994</v>
      </c>
      <c r="S625" s="11" t="s">
        <v>3995</v>
      </c>
      <c r="T625" s="6"/>
      <c r="U625" s="28" t="str">
        <f>HYPERLINK("https://media.infra-m.ru/1987/1987577/cover/1987577.jpg", "Обложка")</f>
        <v>Обложка</v>
      </c>
      <c r="V625" s="28" t="str">
        <f>HYPERLINK("https://znanium.ru/catalog/product/1987577", "Ознакомиться")</f>
        <v>Ознакомиться</v>
      </c>
      <c r="W625" s="8" t="s">
        <v>962</v>
      </c>
      <c r="X625" s="6"/>
      <c r="Y625" s="6"/>
      <c r="Z625" s="6"/>
      <c r="AA625" s="6" t="s">
        <v>3996</v>
      </c>
    </row>
    <row r="626" spans="1:27" s="4" customFormat="1" ht="42" customHeight="1">
      <c r="A626" s="5">
        <v>0</v>
      </c>
      <c r="B626" s="6" t="s">
        <v>3997</v>
      </c>
      <c r="C626" s="7">
        <v>1500</v>
      </c>
      <c r="D626" s="8" t="s">
        <v>3998</v>
      </c>
      <c r="E626" s="8" t="s">
        <v>3999</v>
      </c>
      <c r="F626" s="8" t="s">
        <v>1761</v>
      </c>
      <c r="G626" s="6" t="s">
        <v>37</v>
      </c>
      <c r="H626" s="6" t="s">
        <v>38</v>
      </c>
      <c r="I626" s="8" t="s">
        <v>39</v>
      </c>
      <c r="J626" s="9">
        <v>1</v>
      </c>
      <c r="K626" s="9">
        <v>357</v>
      </c>
      <c r="L626" s="9">
        <v>2022</v>
      </c>
      <c r="M626" s="8" t="s">
        <v>4000</v>
      </c>
      <c r="N626" s="8" t="s">
        <v>41</v>
      </c>
      <c r="O626" s="8" t="s">
        <v>42</v>
      </c>
      <c r="P626" s="6" t="s">
        <v>43</v>
      </c>
      <c r="Q626" s="8" t="s">
        <v>44</v>
      </c>
      <c r="R626" s="10" t="s">
        <v>2083</v>
      </c>
      <c r="S626" s="11"/>
      <c r="T626" s="6"/>
      <c r="U626" s="28" t="str">
        <f>HYPERLINK("https://media.infra-m.ru/1869/1869670/cover/1869670.jpg", "Обложка")</f>
        <v>Обложка</v>
      </c>
      <c r="V626" s="28" t="str">
        <f>HYPERLINK("https://znanium.ru/catalog/product/1869670", "Ознакомиться")</f>
        <v>Ознакомиться</v>
      </c>
      <c r="W626" s="8" t="s">
        <v>1764</v>
      </c>
      <c r="X626" s="6"/>
      <c r="Y626" s="6"/>
      <c r="Z626" s="6"/>
      <c r="AA626" s="6" t="s">
        <v>141</v>
      </c>
    </row>
    <row r="627" spans="1:27" s="4" customFormat="1" ht="42" customHeight="1">
      <c r="A627" s="5">
        <v>0</v>
      </c>
      <c r="B627" s="6" t="s">
        <v>4001</v>
      </c>
      <c r="C627" s="13">
        <v>800</v>
      </c>
      <c r="D627" s="8" t="s">
        <v>4002</v>
      </c>
      <c r="E627" s="8" t="s">
        <v>4003</v>
      </c>
      <c r="F627" s="8" t="s">
        <v>4004</v>
      </c>
      <c r="G627" s="6" t="s">
        <v>37</v>
      </c>
      <c r="H627" s="6" t="s">
        <v>38</v>
      </c>
      <c r="I627" s="8" t="s">
        <v>39</v>
      </c>
      <c r="J627" s="9">
        <v>1</v>
      </c>
      <c r="K627" s="9">
        <v>166</v>
      </c>
      <c r="L627" s="9">
        <v>2023</v>
      </c>
      <c r="M627" s="8" t="s">
        <v>4005</v>
      </c>
      <c r="N627" s="8" t="s">
        <v>41</v>
      </c>
      <c r="O627" s="8" t="s">
        <v>65</v>
      </c>
      <c r="P627" s="6" t="s">
        <v>43</v>
      </c>
      <c r="Q627" s="8" t="s">
        <v>44</v>
      </c>
      <c r="R627" s="10" t="s">
        <v>1236</v>
      </c>
      <c r="S627" s="11"/>
      <c r="T627" s="6"/>
      <c r="U627" s="28" t="str">
        <f>HYPERLINK("https://media.infra-m.ru/1904/1904255/cover/1904255.jpg", "Обложка")</f>
        <v>Обложка</v>
      </c>
      <c r="V627" s="28" t="str">
        <f>HYPERLINK("https://znanium.ru/catalog/product/1904255", "Ознакомиться")</f>
        <v>Ознакомиться</v>
      </c>
      <c r="W627" s="8" t="s">
        <v>2726</v>
      </c>
      <c r="X627" s="6"/>
      <c r="Y627" s="6"/>
      <c r="Z627" s="6"/>
      <c r="AA627" s="6" t="s">
        <v>193</v>
      </c>
    </row>
    <row r="628" spans="1:27" s="4" customFormat="1" ht="51.95" customHeight="1">
      <c r="A628" s="5">
        <v>0</v>
      </c>
      <c r="B628" s="6" t="s">
        <v>4006</v>
      </c>
      <c r="C628" s="13">
        <v>914</v>
      </c>
      <c r="D628" s="8" t="s">
        <v>4007</v>
      </c>
      <c r="E628" s="8" t="s">
        <v>4008</v>
      </c>
      <c r="F628" s="8" t="s">
        <v>4009</v>
      </c>
      <c r="G628" s="6" t="s">
        <v>37</v>
      </c>
      <c r="H628" s="6" t="s">
        <v>38</v>
      </c>
      <c r="I628" s="8" t="s">
        <v>39</v>
      </c>
      <c r="J628" s="9">
        <v>1</v>
      </c>
      <c r="K628" s="9">
        <v>198</v>
      </c>
      <c r="L628" s="9">
        <v>2024</v>
      </c>
      <c r="M628" s="8" t="s">
        <v>4010</v>
      </c>
      <c r="N628" s="8" t="s">
        <v>41</v>
      </c>
      <c r="O628" s="8" t="s">
        <v>65</v>
      </c>
      <c r="P628" s="6" t="s">
        <v>43</v>
      </c>
      <c r="Q628" s="8" t="s">
        <v>44</v>
      </c>
      <c r="R628" s="10" t="s">
        <v>4011</v>
      </c>
      <c r="S628" s="11"/>
      <c r="T628" s="6"/>
      <c r="U628" s="28" t="str">
        <f>HYPERLINK("https://media.infra-m.ru/2080/2080774/cover/2080774.jpg", "Обложка")</f>
        <v>Обложка</v>
      </c>
      <c r="V628" s="28" t="str">
        <f>HYPERLINK("https://znanium.ru/catalog/product/1111369", "Ознакомиться")</f>
        <v>Ознакомиться</v>
      </c>
      <c r="W628" s="8" t="s">
        <v>3098</v>
      </c>
      <c r="X628" s="6"/>
      <c r="Y628" s="6"/>
      <c r="Z628" s="6"/>
      <c r="AA628" s="6" t="s">
        <v>193</v>
      </c>
    </row>
    <row r="629" spans="1:27" s="4" customFormat="1" ht="51.95" customHeight="1">
      <c r="A629" s="5">
        <v>0</v>
      </c>
      <c r="B629" s="6" t="s">
        <v>4012</v>
      </c>
      <c r="C629" s="13">
        <v>870</v>
      </c>
      <c r="D629" s="8" t="s">
        <v>4013</v>
      </c>
      <c r="E629" s="8" t="s">
        <v>4014</v>
      </c>
      <c r="F629" s="8" t="s">
        <v>4015</v>
      </c>
      <c r="G629" s="6" t="s">
        <v>37</v>
      </c>
      <c r="H629" s="6" t="s">
        <v>38</v>
      </c>
      <c r="I629" s="8" t="s">
        <v>39</v>
      </c>
      <c r="J629" s="9">
        <v>1</v>
      </c>
      <c r="K629" s="9">
        <v>189</v>
      </c>
      <c r="L629" s="9">
        <v>2024</v>
      </c>
      <c r="M629" s="8" t="s">
        <v>4016</v>
      </c>
      <c r="N629" s="8" t="s">
        <v>41</v>
      </c>
      <c r="O629" s="8" t="s">
        <v>65</v>
      </c>
      <c r="P629" s="6" t="s">
        <v>43</v>
      </c>
      <c r="Q629" s="8" t="s">
        <v>44</v>
      </c>
      <c r="R629" s="10" t="s">
        <v>4017</v>
      </c>
      <c r="S629" s="11"/>
      <c r="T629" s="6"/>
      <c r="U629" s="28" t="str">
        <f>HYPERLINK("https://media.infra-m.ru/2117/2117165/cover/2117165.jpg", "Обложка")</f>
        <v>Обложка</v>
      </c>
      <c r="V629" s="28" t="str">
        <f>HYPERLINK("https://znanium.ru/catalog/product/2117165", "Ознакомиться")</f>
        <v>Ознакомиться</v>
      </c>
      <c r="W629" s="8" t="s">
        <v>962</v>
      </c>
      <c r="X629" s="6"/>
      <c r="Y629" s="6"/>
      <c r="Z629" s="6"/>
      <c r="AA629" s="6" t="s">
        <v>193</v>
      </c>
    </row>
    <row r="630" spans="1:27" s="4" customFormat="1" ht="51.95" customHeight="1">
      <c r="A630" s="5">
        <v>0</v>
      </c>
      <c r="B630" s="6" t="s">
        <v>4018</v>
      </c>
      <c r="C630" s="13">
        <v>784.9</v>
      </c>
      <c r="D630" s="8" t="s">
        <v>4019</v>
      </c>
      <c r="E630" s="8" t="s">
        <v>4020</v>
      </c>
      <c r="F630" s="8" t="s">
        <v>1721</v>
      </c>
      <c r="G630" s="6" t="s">
        <v>123</v>
      </c>
      <c r="H630" s="6" t="s">
        <v>38</v>
      </c>
      <c r="I630" s="8" t="s">
        <v>39</v>
      </c>
      <c r="J630" s="9">
        <v>1</v>
      </c>
      <c r="K630" s="9">
        <v>175</v>
      </c>
      <c r="L630" s="9">
        <v>2023</v>
      </c>
      <c r="M630" s="8" t="s">
        <v>4021</v>
      </c>
      <c r="N630" s="8" t="s">
        <v>41</v>
      </c>
      <c r="O630" s="8" t="s">
        <v>65</v>
      </c>
      <c r="P630" s="6" t="s">
        <v>43</v>
      </c>
      <c r="Q630" s="8" t="s">
        <v>44</v>
      </c>
      <c r="R630" s="10" t="s">
        <v>4022</v>
      </c>
      <c r="S630" s="11"/>
      <c r="T630" s="6"/>
      <c r="U630" s="28" t="str">
        <f>HYPERLINK("https://media.infra-m.ru/1913/1913025/cover/1913025.jpg", "Обложка")</f>
        <v>Обложка</v>
      </c>
      <c r="V630" s="28" t="str">
        <f>HYPERLINK("https://znanium.ru/catalog/product/1913025", "Ознакомиться")</f>
        <v>Ознакомиться</v>
      </c>
      <c r="W630" s="8" t="s">
        <v>1028</v>
      </c>
      <c r="X630" s="6"/>
      <c r="Y630" s="6"/>
      <c r="Z630" s="6"/>
      <c r="AA630" s="6" t="s">
        <v>364</v>
      </c>
    </row>
    <row r="631" spans="1:27" s="4" customFormat="1" ht="51.95" customHeight="1">
      <c r="A631" s="5">
        <v>0</v>
      </c>
      <c r="B631" s="6" t="s">
        <v>4023</v>
      </c>
      <c r="C631" s="7">
        <v>1400</v>
      </c>
      <c r="D631" s="8" t="s">
        <v>4024</v>
      </c>
      <c r="E631" s="8" t="s">
        <v>4025</v>
      </c>
      <c r="F631" s="8" t="s">
        <v>4026</v>
      </c>
      <c r="G631" s="6" t="s">
        <v>83</v>
      </c>
      <c r="H631" s="6" t="s">
        <v>38</v>
      </c>
      <c r="I631" s="8" t="s">
        <v>205</v>
      </c>
      <c r="J631" s="9">
        <v>1</v>
      </c>
      <c r="K631" s="9">
        <v>303</v>
      </c>
      <c r="L631" s="9">
        <v>2024</v>
      </c>
      <c r="M631" s="8" t="s">
        <v>4027</v>
      </c>
      <c r="N631" s="8" t="s">
        <v>41</v>
      </c>
      <c r="O631" s="8" t="s">
        <v>1299</v>
      </c>
      <c r="P631" s="6" t="s">
        <v>176</v>
      </c>
      <c r="Q631" s="8" t="s">
        <v>207</v>
      </c>
      <c r="R631" s="10" t="s">
        <v>4028</v>
      </c>
      <c r="S631" s="11" t="s">
        <v>4029</v>
      </c>
      <c r="T631" s="6"/>
      <c r="U631" s="28" t="str">
        <f>HYPERLINK("https://media.infra-m.ru/2083/2083158/cover/2083158.jpg", "Обложка")</f>
        <v>Обложка</v>
      </c>
      <c r="V631" s="28" t="str">
        <f>HYPERLINK("https://znanium.ru/catalog/product/2083158", "Ознакомиться")</f>
        <v>Ознакомиться</v>
      </c>
      <c r="W631" s="8" t="s">
        <v>132</v>
      </c>
      <c r="X631" s="6"/>
      <c r="Y631" s="6"/>
      <c r="Z631" s="6"/>
      <c r="AA631" s="6" t="s">
        <v>650</v>
      </c>
    </row>
    <row r="632" spans="1:27" s="4" customFormat="1" ht="51.95" customHeight="1">
      <c r="A632" s="5">
        <v>0</v>
      </c>
      <c r="B632" s="6" t="s">
        <v>4030</v>
      </c>
      <c r="C632" s="13">
        <v>944</v>
      </c>
      <c r="D632" s="8" t="s">
        <v>4031</v>
      </c>
      <c r="E632" s="8" t="s">
        <v>4025</v>
      </c>
      <c r="F632" s="8" t="s">
        <v>4032</v>
      </c>
      <c r="G632" s="6" t="s">
        <v>123</v>
      </c>
      <c r="H632" s="6" t="s">
        <v>52</v>
      </c>
      <c r="I632" s="8" t="s">
        <v>205</v>
      </c>
      <c r="J632" s="9">
        <v>1</v>
      </c>
      <c r="K632" s="9">
        <v>320</v>
      </c>
      <c r="L632" s="9">
        <v>2018</v>
      </c>
      <c r="M632" s="8" t="s">
        <v>4033</v>
      </c>
      <c r="N632" s="8" t="s">
        <v>41</v>
      </c>
      <c r="O632" s="8" t="s">
        <v>1299</v>
      </c>
      <c r="P632" s="6" t="s">
        <v>176</v>
      </c>
      <c r="Q632" s="8" t="s">
        <v>207</v>
      </c>
      <c r="R632" s="10" t="s">
        <v>4034</v>
      </c>
      <c r="S632" s="11" t="s">
        <v>4035</v>
      </c>
      <c r="T632" s="6"/>
      <c r="U632" s="28" t="str">
        <f>HYPERLINK("https://media.infra-m.ru/2081/2081960/cover/2081960.jpg", "Обложка")</f>
        <v>Обложка</v>
      </c>
      <c r="V632" s="28" t="str">
        <f>HYPERLINK("https://znanium.ru/catalog/product/1855980", "Ознакомиться")</f>
        <v>Ознакомиться</v>
      </c>
      <c r="W632" s="8" t="s">
        <v>273</v>
      </c>
      <c r="X632" s="6"/>
      <c r="Y632" s="6"/>
      <c r="Z632" s="6"/>
      <c r="AA632" s="6" t="s">
        <v>274</v>
      </c>
    </row>
    <row r="633" spans="1:27" s="4" customFormat="1" ht="42" customHeight="1">
      <c r="A633" s="5">
        <v>0</v>
      </c>
      <c r="B633" s="6" t="s">
        <v>4036</v>
      </c>
      <c r="C633" s="7">
        <v>1220</v>
      </c>
      <c r="D633" s="8" t="s">
        <v>4037</v>
      </c>
      <c r="E633" s="8" t="s">
        <v>4038</v>
      </c>
      <c r="F633" s="8" t="s">
        <v>4039</v>
      </c>
      <c r="G633" s="6" t="s">
        <v>37</v>
      </c>
      <c r="H633" s="6" t="s">
        <v>38</v>
      </c>
      <c r="I633" s="8" t="s">
        <v>39</v>
      </c>
      <c r="J633" s="9">
        <v>1</v>
      </c>
      <c r="K633" s="9">
        <v>313</v>
      </c>
      <c r="L633" s="9">
        <v>2022</v>
      </c>
      <c r="M633" s="8" t="s">
        <v>4040</v>
      </c>
      <c r="N633" s="8" t="s">
        <v>74</v>
      </c>
      <c r="O633" s="8" t="s">
        <v>1559</v>
      </c>
      <c r="P633" s="6" t="s">
        <v>43</v>
      </c>
      <c r="Q633" s="8" t="s">
        <v>44</v>
      </c>
      <c r="R633" s="10" t="s">
        <v>4041</v>
      </c>
      <c r="S633" s="11"/>
      <c r="T633" s="6"/>
      <c r="U633" s="28" t="str">
        <f>HYPERLINK("https://media.infra-m.ru/1850/1850624/cover/1850624.jpg", "Обложка")</f>
        <v>Обложка</v>
      </c>
      <c r="V633" s="28" t="str">
        <f>HYPERLINK("https://znanium.ru/catalog/product/1850624", "Ознакомиться")</f>
        <v>Ознакомиться</v>
      </c>
      <c r="W633" s="8" t="s">
        <v>833</v>
      </c>
      <c r="X633" s="6"/>
      <c r="Y633" s="6"/>
      <c r="Z633" s="6"/>
      <c r="AA633" s="6" t="s">
        <v>381</v>
      </c>
    </row>
    <row r="634" spans="1:27" s="4" customFormat="1" ht="42" customHeight="1">
      <c r="A634" s="5">
        <v>0</v>
      </c>
      <c r="B634" s="6" t="s">
        <v>4042</v>
      </c>
      <c r="C634" s="13">
        <v>440</v>
      </c>
      <c r="D634" s="8" t="s">
        <v>4043</v>
      </c>
      <c r="E634" s="8" t="s">
        <v>4044</v>
      </c>
      <c r="F634" s="8" t="s">
        <v>4045</v>
      </c>
      <c r="G634" s="6" t="s">
        <v>37</v>
      </c>
      <c r="H634" s="6" t="s">
        <v>38</v>
      </c>
      <c r="I634" s="8" t="s">
        <v>39</v>
      </c>
      <c r="J634" s="9">
        <v>1</v>
      </c>
      <c r="K634" s="9">
        <v>129</v>
      </c>
      <c r="L634" s="9">
        <v>2019</v>
      </c>
      <c r="M634" s="8" t="s">
        <v>4046</v>
      </c>
      <c r="N634" s="8" t="s">
        <v>74</v>
      </c>
      <c r="O634" s="8" t="s">
        <v>75</v>
      </c>
      <c r="P634" s="6" t="s">
        <v>43</v>
      </c>
      <c r="Q634" s="8" t="s">
        <v>44</v>
      </c>
      <c r="R634" s="10" t="s">
        <v>76</v>
      </c>
      <c r="S634" s="11"/>
      <c r="T634" s="6"/>
      <c r="U634" s="28" t="str">
        <f>HYPERLINK("https://media.infra-m.ru/1005/1005635/cover/1005635.jpg", "Обложка")</f>
        <v>Обложка</v>
      </c>
      <c r="V634" s="28" t="str">
        <f>HYPERLINK("https://znanium.ru/catalog/product/1005635", "Ознакомиться")</f>
        <v>Ознакомиться</v>
      </c>
      <c r="W634" s="8" t="s">
        <v>4047</v>
      </c>
      <c r="X634" s="6"/>
      <c r="Y634" s="6"/>
      <c r="Z634" s="6"/>
      <c r="AA634" s="6" t="s">
        <v>68</v>
      </c>
    </row>
    <row r="635" spans="1:27" s="4" customFormat="1" ht="51.95" customHeight="1">
      <c r="A635" s="5">
        <v>0</v>
      </c>
      <c r="B635" s="6" t="s">
        <v>4048</v>
      </c>
      <c r="C635" s="7">
        <v>1620</v>
      </c>
      <c r="D635" s="8" t="s">
        <v>4049</v>
      </c>
      <c r="E635" s="8" t="s">
        <v>4050</v>
      </c>
      <c r="F635" s="8" t="s">
        <v>1102</v>
      </c>
      <c r="G635" s="6" t="s">
        <v>123</v>
      </c>
      <c r="H635" s="6" t="s">
        <v>38</v>
      </c>
      <c r="I635" s="8" t="s">
        <v>39</v>
      </c>
      <c r="J635" s="9">
        <v>1</v>
      </c>
      <c r="K635" s="9">
        <v>349</v>
      </c>
      <c r="L635" s="9">
        <v>2024</v>
      </c>
      <c r="M635" s="8" t="s">
        <v>4051</v>
      </c>
      <c r="N635" s="8" t="s">
        <v>41</v>
      </c>
      <c r="O635" s="8" t="s">
        <v>65</v>
      </c>
      <c r="P635" s="6" t="s">
        <v>43</v>
      </c>
      <c r="Q635" s="8" t="s">
        <v>44</v>
      </c>
      <c r="R635" s="10" t="s">
        <v>4052</v>
      </c>
      <c r="S635" s="11"/>
      <c r="T635" s="6"/>
      <c r="U635" s="28" t="str">
        <f>HYPERLINK("https://media.infra-m.ru/2076/2076787/cover/2076787.jpg", "Обложка")</f>
        <v>Обложка</v>
      </c>
      <c r="V635" s="28" t="str">
        <f>HYPERLINK("https://znanium.ru/catalog/product/2076787", "Ознакомиться")</f>
        <v>Ознакомиться</v>
      </c>
      <c r="W635" s="8" t="s">
        <v>1105</v>
      </c>
      <c r="X635" s="6" t="s">
        <v>4053</v>
      </c>
      <c r="Y635" s="6"/>
      <c r="Z635" s="6"/>
      <c r="AA635" s="6" t="s">
        <v>180</v>
      </c>
    </row>
    <row r="636" spans="1:27" s="4" customFormat="1" ht="42" customHeight="1">
      <c r="A636" s="5">
        <v>0</v>
      </c>
      <c r="B636" s="6" t="s">
        <v>4054</v>
      </c>
      <c r="C636" s="7">
        <v>1150</v>
      </c>
      <c r="D636" s="8" t="s">
        <v>4055</v>
      </c>
      <c r="E636" s="8" t="s">
        <v>4056</v>
      </c>
      <c r="F636" s="8" t="s">
        <v>4057</v>
      </c>
      <c r="G636" s="6" t="s">
        <v>37</v>
      </c>
      <c r="H636" s="6" t="s">
        <v>38</v>
      </c>
      <c r="I636" s="8" t="s">
        <v>39</v>
      </c>
      <c r="J636" s="9">
        <v>1</v>
      </c>
      <c r="K636" s="9">
        <v>274</v>
      </c>
      <c r="L636" s="9">
        <v>2022</v>
      </c>
      <c r="M636" s="8" t="s">
        <v>4058</v>
      </c>
      <c r="N636" s="8" t="s">
        <v>74</v>
      </c>
      <c r="O636" s="8" t="s">
        <v>75</v>
      </c>
      <c r="P636" s="6" t="s">
        <v>43</v>
      </c>
      <c r="Q636" s="8" t="s">
        <v>44</v>
      </c>
      <c r="R636" s="10" t="s">
        <v>4059</v>
      </c>
      <c r="S636" s="11"/>
      <c r="T636" s="6"/>
      <c r="U636" s="28" t="str">
        <f>HYPERLINK("https://media.infra-m.ru/1869/1869553/cover/1869553.jpg", "Обложка")</f>
        <v>Обложка</v>
      </c>
      <c r="V636" s="28" t="str">
        <f>HYPERLINK("https://znanium.ru/catalog/product/1869553", "Ознакомиться")</f>
        <v>Ознакомиться</v>
      </c>
      <c r="W636" s="8" t="s">
        <v>4060</v>
      </c>
      <c r="X636" s="6"/>
      <c r="Y636" s="6"/>
      <c r="Z636" s="6"/>
      <c r="AA636" s="6" t="s">
        <v>103</v>
      </c>
    </row>
    <row r="637" spans="1:27" s="4" customFormat="1" ht="42" customHeight="1">
      <c r="A637" s="5">
        <v>0</v>
      </c>
      <c r="B637" s="6" t="s">
        <v>4061</v>
      </c>
      <c r="C637" s="13">
        <v>760</v>
      </c>
      <c r="D637" s="8" t="s">
        <v>4062</v>
      </c>
      <c r="E637" s="8" t="s">
        <v>4063</v>
      </c>
      <c r="F637" s="8" t="s">
        <v>4064</v>
      </c>
      <c r="G637" s="6" t="s">
        <v>37</v>
      </c>
      <c r="H637" s="6" t="s">
        <v>38</v>
      </c>
      <c r="I637" s="8" t="s">
        <v>39</v>
      </c>
      <c r="J637" s="9">
        <v>1</v>
      </c>
      <c r="K637" s="9">
        <v>141</v>
      </c>
      <c r="L637" s="9">
        <v>2024</v>
      </c>
      <c r="M637" s="8" t="s">
        <v>4065</v>
      </c>
      <c r="N637" s="8" t="s">
        <v>74</v>
      </c>
      <c r="O637" s="8" t="s">
        <v>93</v>
      </c>
      <c r="P637" s="6" t="s">
        <v>43</v>
      </c>
      <c r="Q637" s="8" t="s">
        <v>44</v>
      </c>
      <c r="R637" s="10" t="s">
        <v>1054</v>
      </c>
      <c r="S637" s="11"/>
      <c r="T637" s="6"/>
      <c r="U637" s="28" t="str">
        <f>HYPERLINK("https://media.infra-m.ru/2116/2116160/cover/2116160.jpg", "Обложка")</f>
        <v>Обложка</v>
      </c>
      <c r="V637" s="28" t="str">
        <f>HYPERLINK("https://znanium.ru/catalog/product/2116160", "Ознакомиться")</f>
        <v>Ознакомиться</v>
      </c>
      <c r="W637" s="8" t="s">
        <v>4060</v>
      </c>
      <c r="X637" s="6" t="s">
        <v>1242</v>
      </c>
      <c r="Y637" s="6"/>
      <c r="Z637" s="6"/>
      <c r="AA637" s="6" t="s">
        <v>180</v>
      </c>
    </row>
    <row r="638" spans="1:27" s="4" customFormat="1" ht="51.95" customHeight="1">
      <c r="A638" s="5">
        <v>0</v>
      </c>
      <c r="B638" s="6" t="s">
        <v>4066</v>
      </c>
      <c r="C638" s="13">
        <v>794.9</v>
      </c>
      <c r="D638" s="8" t="s">
        <v>4067</v>
      </c>
      <c r="E638" s="8" t="s">
        <v>4068</v>
      </c>
      <c r="F638" s="8" t="s">
        <v>4069</v>
      </c>
      <c r="G638" s="6" t="s">
        <v>37</v>
      </c>
      <c r="H638" s="6" t="s">
        <v>630</v>
      </c>
      <c r="I638" s="8" t="s">
        <v>960</v>
      </c>
      <c r="J638" s="9">
        <v>1</v>
      </c>
      <c r="K638" s="9">
        <v>208</v>
      </c>
      <c r="L638" s="9">
        <v>2022</v>
      </c>
      <c r="M638" s="8" t="s">
        <v>4070</v>
      </c>
      <c r="N638" s="8" t="s">
        <v>74</v>
      </c>
      <c r="O638" s="8" t="s">
        <v>109</v>
      </c>
      <c r="P638" s="6" t="s">
        <v>960</v>
      </c>
      <c r="Q638" s="8" t="s">
        <v>56</v>
      </c>
      <c r="R638" s="10" t="s">
        <v>4071</v>
      </c>
      <c r="S638" s="11"/>
      <c r="T638" s="6"/>
      <c r="U638" s="28" t="str">
        <f>HYPERLINK("https://media.infra-m.ru/1850/1850641/cover/1850641.jpg", "Обложка")</f>
        <v>Обложка</v>
      </c>
      <c r="V638" s="28" t="str">
        <f>HYPERLINK("https://znanium.ru/catalog/product/1026957", "Ознакомиться")</f>
        <v>Ознакомиться</v>
      </c>
      <c r="W638" s="8" t="s">
        <v>986</v>
      </c>
      <c r="X638" s="6"/>
      <c r="Y638" s="6"/>
      <c r="Z638" s="6"/>
      <c r="AA638" s="6" t="s">
        <v>290</v>
      </c>
    </row>
    <row r="639" spans="1:27" s="4" customFormat="1" ht="51.95" customHeight="1">
      <c r="A639" s="5">
        <v>0</v>
      </c>
      <c r="B639" s="6" t="s">
        <v>4072</v>
      </c>
      <c r="C639" s="13">
        <v>824</v>
      </c>
      <c r="D639" s="8" t="s">
        <v>4073</v>
      </c>
      <c r="E639" s="8" t="s">
        <v>4074</v>
      </c>
      <c r="F639" s="8" t="s">
        <v>4075</v>
      </c>
      <c r="G639" s="6" t="s">
        <v>123</v>
      </c>
      <c r="H639" s="6" t="s">
        <v>934</v>
      </c>
      <c r="I639" s="8" t="s">
        <v>155</v>
      </c>
      <c r="J639" s="9">
        <v>1</v>
      </c>
      <c r="K639" s="9">
        <v>175</v>
      </c>
      <c r="L639" s="9">
        <v>2024</v>
      </c>
      <c r="M639" s="8" t="s">
        <v>4076</v>
      </c>
      <c r="N639" s="8" t="s">
        <v>74</v>
      </c>
      <c r="O639" s="8" t="s">
        <v>109</v>
      </c>
      <c r="P639" s="6" t="s">
        <v>55</v>
      </c>
      <c r="Q639" s="8" t="s">
        <v>56</v>
      </c>
      <c r="R639" s="10" t="s">
        <v>4077</v>
      </c>
      <c r="S639" s="11" t="s">
        <v>4078</v>
      </c>
      <c r="T639" s="6"/>
      <c r="U639" s="28" t="str">
        <f>HYPERLINK("https://media.infra-m.ru/2142/2142589/cover/2142589.jpg", "Обложка")</f>
        <v>Обложка</v>
      </c>
      <c r="V639" s="28" t="str">
        <f>HYPERLINK("https://znanium.ru/catalog/product/1836607", "Ознакомиться")</f>
        <v>Ознакомиться</v>
      </c>
      <c r="W639" s="8" t="s">
        <v>962</v>
      </c>
      <c r="X639" s="6"/>
      <c r="Y639" s="6"/>
      <c r="Z639" s="6"/>
      <c r="AA639" s="6" t="s">
        <v>274</v>
      </c>
    </row>
    <row r="640" spans="1:27" s="4" customFormat="1" ht="51.95" customHeight="1">
      <c r="A640" s="5">
        <v>0</v>
      </c>
      <c r="B640" s="6" t="s">
        <v>4079</v>
      </c>
      <c r="C640" s="7">
        <v>1930</v>
      </c>
      <c r="D640" s="8" t="s">
        <v>4080</v>
      </c>
      <c r="E640" s="8" t="s">
        <v>4081</v>
      </c>
      <c r="F640" s="8" t="s">
        <v>4082</v>
      </c>
      <c r="G640" s="6" t="s">
        <v>83</v>
      </c>
      <c r="H640" s="6" t="s">
        <v>38</v>
      </c>
      <c r="I640" s="8" t="s">
        <v>164</v>
      </c>
      <c r="J640" s="9">
        <v>1</v>
      </c>
      <c r="K640" s="9">
        <v>429</v>
      </c>
      <c r="L640" s="9">
        <v>2023</v>
      </c>
      <c r="M640" s="8" t="s">
        <v>4083</v>
      </c>
      <c r="N640" s="8" t="s">
        <v>74</v>
      </c>
      <c r="O640" s="8" t="s">
        <v>109</v>
      </c>
      <c r="P640" s="6" t="s">
        <v>176</v>
      </c>
      <c r="Q640" s="8" t="s">
        <v>56</v>
      </c>
      <c r="R640" s="10" t="s">
        <v>3268</v>
      </c>
      <c r="S640" s="11" t="s">
        <v>4084</v>
      </c>
      <c r="T640" s="6" t="s">
        <v>190</v>
      </c>
      <c r="U640" s="28" t="str">
        <f>HYPERLINK("https://media.infra-m.ru/1913/1913659/cover/1913659.jpg", "Обложка")</f>
        <v>Обложка</v>
      </c>
      <c r="V640" s="28" t="str">
        <f>HYPERLINK("https://znanium.ru/catalog/product/1913659", "Ознакомиться")</f>
        <v>Ознакомиться</v>
      </c>
      <c r="W640" s="8" t="s">
        <v>1070</v>
      </c>
      <c r="X640" s="6"/>
      <c r="Y640" s="6"/>
      <c r="Z640" s="6"/>
      <c r="AA640" s="6" t="s">
        <v>59</v>
      </c>
    </row>
    <row r="641" spans="1:27" s="4" customFormat="1" ht="51.95" customHeight="1">
      <c r="A641" s="5">
        <v>0</v>
      </c>
      <c r="B641" s="6" t="s">
        <v>4085</v>
      </c>
      <c r="C641" s="13">
        <v>544</v>
      </c>
      <c r="D641" s="8" t="s">
        <v>4086</v>
      </c>
      <c r="E641" s="8" t="s">
        <v>4087</v>
      </c>
      <c r="F641" s="8" t="s">
        <v>4088</v>
      </c>
      <c r="G641" s="6" t="s">
        <v>37</v>
      </c>
      <c r="H641" s="6" t="s">
        <v>38</v>
      </c>
      <c r="I641" s="8" t="s">
        <v>39</v>
      </c>
      <c r="J641" s="9">
        <v>1</v>
      </c>
      <c r="K641" s="9">
        <v>115</v>
      </c>
      <c r="L641" s="9">
        <v>2024</v>
      </c>
      <c r="M641" s="8" t="s">
        <v>4089</v>
      </c>
      <c r="N641" s="8" t="s">
        <v>41</v>
      </c>
      <c r="O641" s="8" t="s">
        <v>54</v>
      </c>
      <c r="P641" s="6" t="s">
        <v>43</v>
      </c>
      <c r="Q641" s="8" t="s">
        <v>44</v>
      </c>
      <c r="R641" s="10" t="s">
        <v>440</v>
      </c>
      <c r="S641" s="11"/>
      <c r="T641" s="6"/>
      <c r="U641" s="28" t="str">
        <f>HYPERLINK("https://media.infra-m.ru/2130/2130009/cover/2130009.jpg", "Обложка")</f>
        <v>Обложка</v>
      </c>
      <c r="V641" s="28" t="str">
        <f>HYPERLINK("https://znanium.ru/catalog/product/2112507", "Ознакомиться")</f>
        <v>Ознакомиться</v>
      </c>
      <c r="W641" s="8" t="s">
        <v>1005</v>
      </c>
      <c r="X641" s="6"/>
      <c r="Y641" s="6"/>
      <c r="Z641" s="6"/>
      <c r="AA641" s="6" t="s">
        <v>68</v>
      </c>
    </row>
    <row r="642" spans="1:27" s="4" customFormat="1" ht="42" customHeight="1">
      <c r="A642" s="5">
        <v>0</v>
      </c>
      <c r="B642" s="6" t="s">
        <v>4090</v>
      </c>
      <c r="C642" s="7">
        <v>1550</v>
      </c>
      <c r="D642" s="8" t="s">
        <v>4091</v>
      </c>
      <c r="E642" s="8" t="s">
        <v>4092</v>
      </c>
      <c r="F642" s="8" t="s">
        <v>4093</v>
      </c>
      <c r="G642" s="6" t="s">
        <v>123</v>
      </c>
      <c r="H642" s="6" t="s">
        <v>38</v>
      </c>
      <c r="I642" s="8" t="s">
        <v>155</v>
      </c>
      <c r="J642" s="9">
        <v>1</v>
      </c>
      <c r="K642" s="9">
        <v>316</v>
      </c>
      <c r="L642" s="9">
        <v>2024</v>
      </c>
      <c r="M642" s="8" t="s">
        <v>4094</v>
      </c>
      <c r="N642" s="8" t="s">
        <v>74</v>
      </c>
      <c r="O642" s="8" t="s">
        <v>93</v>
      </c>
      <c r="P642" s="6" t="s">
        <v>55</v>
      </c>
      <c r="Q642" s="8" t="s">
        <v>177</v>
      </c>
      <c r="R642" s="10" t="s">
        <v>4095</v>
      </c>
      <c r="S642" s="11"/>
      <c r="T642" s="6"/>
      <c r="U642" s="28" t="str">
        <f>HYPERLINK("https://media.infra-m.ru/1819/1819218/cover/1819218.jpg", "Обложка")</f>
        <v>Обложка</v>
      </c>
      <c r="V642" s="28" t="str">
        <f>HYPERLINK("https://znanium.ru/catalog/product/1819218", "Ознакомиться")</f>
        <v>Ознакомиться</v>
      </c>
      <c r="W642" s="8" t="s">
        <v>3445</v>
      </c>
      <c r="X642" s="6" t="s">
        <v>734</v>
      </c>
      <c r="Y642" s="6"/>
      <c r="Z642" s="6"/>
      <c r="AA642" s="6" t="s">
        <v>180</v>
      </c>
    </row>
    <row r="643" spans="1:27" s="4" customFormat="1" ht="51.95" customHeight="1">
      <c r="A643" s="5">
        <v>0</v>
      </c>
      <c r="B643" s="6" t="s">
        <v>4096</v>
      </c>
      <c r="C643" s="7">
        <v>1560</v>
      </c>
      <c r="D643" s="8" t="s">
        <v>4097</v>
      </c>
      <c r="E643" s="8" t="s">
        <v>4098</v>
      </c>
      <c r="F643" s="8" t="s">
        <v>4099</v>
      </c>
      <c r="G643" s="6" t="s">
        <v>83</v>
      </c>
      <c r="H643" s="6" t="s">
        <v>38</v>
      </c>
      <c r="I643" s="8" t="s">
        <v>205</v>
      </c>
      <c r="J643" s="9">
        <v>1</v>
      </c>
      <c r="K643" s="9">
        <v>346</v>
      </c>
      <c r="L643" s="9">
        <v>2023</v>
      </c>
      <c r="M643" s="8" t="s">
        <v>4100</v>
      </c>
      <c r="N643" s="8" t="s">
        <v>41</v>
      </c>
      <c r="O643" s="8" t="s">
        <v>65</v>
      </c>
      <c r="P643" s="6" t="s">
        <v>176</v>
      </c>
      <c r="Q643" s="8" t="s">
        <v>207</v>
      </c>
      <c r="R643" s="10" t="s">
        <v>2850</v>
      </c>
      <c r="S643" s="11" t="s">
        <v>4101</v>
      </c>
      <c r="T643" s="6"/>
      <c r="U643" s="28" t="str">
        <f>HYPERLINK("https://media.infra-m.ru/1893/1893865/cover/1893865.jpg", "Обложка")</f>
        <v>Обложка</v>
      </c>
      <c r="V643" s="28" t="str">
        <f>HYPERLINK("https://znanium.ru/catalog/product/1893865", "Ознакомиться")</f>
        <v>Ознакомиться</v>
      </c>
      <c r="W643" s="8" t="s">
        <v>4102</v>
      </c>
      <c r="X643" s="6"/>
      <c r="Y643" s="6"/>
      <c r="Z643" s="6"/>
      <c r="AA643" s="6" t="s">
        <v>193</v>
      </c>
    </row>
    <row r="644" spans="1:27" s="4" customFormat="1" ht="51.95" customHeight="1">
      <c r="A644" s="5">
        <v>0</v>
      </c>
      <c r="B644" s="6" t="s">
        <v>4103</v>
      </c>
      <c r="C644" s="13">
        <v>960</v>
      </c>
      <c r="D644" s="8" t="s">
        <v>4104</v>
      </c>
      <c r="E644" s="8" t="s">
        <v>4105</v>
      </c>
      <c r="F644" s="8" t="s">
        <v>4106</v>
      </c>
      <c r="G644" s="6" t="s">
        <v>83</v>
      </c>
      <c r="H644" s="6" t="s">
        <v>38</v>
      </c>
      <c r="I644" s="8" t="s">
        <v>155</v>
      </c>
      <c r="J644" s="9">
        <v>1</v>
      </c>
      <c r="K644" s="9">
        <v>208</v>
      </c>
      <c r="L644" s="9">
        <v>2024</v>
      </c>
      <c r="M644" s="8" t="s">
        <v>4107</v>
      </c>
      <c r="N644" s="8" t="s">
        <v>41</v>
      </c>
      <c r="O644" s="8" t="s">
        <v>65</v>
      </c>
      <c r="P644" s="6" t="s">
        <v>55</v>
      </c>
      <c r="Q644" s="8" t="s">
        <v>177</v>
      </c>
      <c r="R644" s="10" t="s">
        <v>4108</v>
      </c>
      <c r="S644" s="11" t="s">
        <v>4109</v>
      </c>
      <c r="T644" s="6"/>
      <c r="U644" s="28" t="str">
        <f>HYPERLINK("https://media.infra-m.ru/2067/2067380/cover/2067380.jpg", "Обложка")</f>
        <v>Обложка</v>
      </c>
      <c r="V644" s="28" t="str">
        <f>HYPERLINK("https://znanium.ru/catalog/product/2067380", "Ознакомиться")</f>
        <v>Ознакомиться</v>
      </c>
      <c r="W644" s="8" t="s">
        <v>4110</v>
      </c>
      <c r="X644" s="6"/>
      <c r="Y644" s="6"/>
      <c r="Z644" s="6"/>
      <c r="AA644" s="6" t="s">
        <v>381</v>
      </c>
    </row>
    <row r="645" spans="1:27" s="4" customFormat="1" ht="51.95" customHeight="1">
      <c r="A645" s="5">
        <v>0</v>
      </c>
      <c r="B645" s="6" t="s">
        <v>4111</v>
      </c>
      <c r="C645" s="7">
        <v>1200</v>
      </c>
      <c r="D645" s="8" t="s">
        <v>4112</v>
      </c>
      <c r="E645" s="8" t="s">
        <v>4113</v>
      </c>
      <c r="F645" s="8" t="s">
        <v>1109</v>
      </c>
      <c r="G645" s="6" t="s">
        <v>83</v>
      </c>
      <c r="H645" s="6" t="s">
        <v>38</v>
      </c>
      <c r="I645" s="8" t="s">
        <v>164</v>
      </c>
      <c r="J645" s="9">
        <v>1</v>
      </c>
      <c r="K645" s="9">
        <v>266</v>
      </c>
      <c r="L645" s="9">
        <v>2023</v>
      </c>
      <c r="M645" s="8" t="s">
        <v>4114</v>
      </c>
      <c r="N645" s="8" t="s">
        <v>74</v>
      </c>
      <c r="O645" s="8" t="s">
        <v>93</v>
      </c>
      <c r="P645" s="6" t="s">
        <v>55</v>
      </c>
      <c r="Q645" s="8" t="s">
        <v>56</v>
      </c>
      <c r="R645" s="10" t="s">
        <v>2786</v>
      </c>
      <c r="S645" s="11" t="s">
        <v>4115</v>
      </c>
      <c r="T645" s="6"/>
      <c r="U645" s="28" t="str">
        <f>HYPERLINK("https://media.infra-m.ru/1939/1939104/cover/1939104.jpg", "Обложка")</f>
        <v>Обложка</v>
      </c>
      <c r="V645" s="28" t="str">
        <f>HYPERLINK("https://znanium.ru/catalog/product/1939104", "Ознакомиться")</f>
        <v>Ознакомиться</v>
      </c>
      <c r="W645" s="8" t="s">
        <v>1111</v>
      </c>
      <c r="X645" s="6"/>
      <c r="Y645" s="6"/>
      <c r="Z645" s="6"/>
      <c r="AA645" s="6" t="s">
        <v>4116</v>
      </c>
    </row>
    <row r="646" spans="1:27" s="4" customFormat="1" ht="42" customHeight="1">
      <c r="A646" s="5">
        <v>0</v>
      </c>
      <c r="B646" s="6" t="s">
        <v>4117</v>
      </c>
      <c r="C646" s="13">
        <v>690</v>
      </c>
      <c r="D646" s="8" t="s">
        <v>4118</v>
      </c>
      <c r="E646" s="8" t="s">
        <v>4119</v>
      </c>
      <c r="F646" s="8" t="s">
        <v>4120</v>
      </c>
      <c r="G646" s="6" t="s">
        <v>37</v>
      </c>
      <c r="H646" s="6" t="s">
        <v>38</v>
      </c>
      <c r="I646" s="8" t="s">
        <v>39</v>
      </c>
      <c r="J646" s="9">
        <v>1</v>
      </c>
      <c r="K646" s="9">
        <v>158</v>
      </c>
      <c r="L646" s="9">
        <v>2022</v>
      </c>
      <c r="M646" s="8" t="s">
        <v>4121</v>
      </c>
      <c r="N646" s="8" t="s">
        <v>74</v>
      </c>
      <c r="O646" s="8" t="s">
        <v>93</v>
      </c>
      <c r="P646" s="6" t="s">
        <v>43</v>
      </c>
      <c r="Q646" s="8" t="s">
        <v>44</v>
      </c>
      <c r="R646" s="10" t="s">
        <v>4122</v>
      </c>
      <c r="S646" s="11"/>
      <c r="T646" s="6"/>
      <c r="U646" s="28" t="str">
        <f>HYPERLINK("https://media.infra-m.ru/1856/1856825/cover/1856825.jpg", "Обложка")</f>
        <v>Обложка</v>
      </c>
      <c r="V646" s="28" t="str">
        <f>HYPERLINK("https://znanium.ru/catalog/product/1856825", "Ознакомиться")</f>
        <v>Ознакомиться</v>
      </c>
      <c r="W646" s="8" t="s">
        <v>4123</v>
      </c>
      <c r="X646" s="6"/>
      <c r="Y646" s="6"/>
      <c r="Z646" s="6"/>
      <c r="AA646" s="6" t="s">
        <v>103</v>
      </c>
    </row>
    <row r="647" spans="1:27" s="4" customFormat="1" ht="42" customHeight="1">
      <c r="A647" s="5">
        <v>0</v>
      </c>
      <c r="B647" s="6" t="s">
        <v>4124</v>
      </c>
      <c r="C647" s="7">
        <v>1360</v>
      </c>
      <c r="D647" s="8" t="s">
        <v>4125</v>
      </c>
      <c r="E647" s="8" t="s">
        <v>4126</v>
      </c>
      <c r="F647" s="8" t="s">
        <v>4127</v>
      </c>
      <c r="G647" s="6" t="s">
        <v>83</v>
      </c>
      <c r="H647" s="6" t="s">
        <v>317</v>
      </c>
      <c r="I647" s="8" t="s">
        <v>155</v>
      </c>
      <c r="J647" s="9">
        <v>1</v>
      </c>
      <c r="K647" s="9">
        <v>296</v>
      </c>
      <c r="L647" s="9">
        <v>2023</v>
      </c>
      <c r="M647" s="8" t="s">
        <v>4128</v>
      </c>
      <c r="N647" s="8" t="s">
        <v>74</v>
      </c>
      <c r="O647" s="8" t="s">
        <v>394</v>
      </c>
      <c r="P647" s="6" t="s">
        <v>176</v>
      </c>
      <c r="Q647" s="8" t="s">
        <v>56</v>
      </c>
      <c r="R647" s="10" t="s">
        <v>2683</v>
      </c>
      <c r="S647" s="11"/>
      <c r="T647" s="6"/>
      <c r="U647" s="28" t="str">
        <f>HYPERLINK("https://media.infra-m.ru/1896/1896917/cover/1896917.jpg", "Обложка")</f>
        <v>Обложка</v>
      </c>
      <c r="V647" s="28" t="str">
        <f>HYPERLINK("https://znanium.ru/catalog/product/1896917", "Ознакомиться")</f>
        <v>Ознакомиться</v>
      </c>
      <c r="W647" s="8" t="s">
        <v>4129</v>
      </c>
      <c r="X647" s="6"/>
      <c r="Y647" s="6"/>
      <c r="Z647" s="6"/>
      <c r="AA647" s="6" t="s">
        <v>4130</v>
      </c>
    </row>
    <row r="648" spans="1:27" s="4" customFormat="1" ht="42" customHeight="1">
      <c r="A648" s="5">
        <v>0</v>
      </c>
      <c r="B648" s="6" t="s">
        <v>4131</v>
      </c>
      <c r="C648" s="7">
        <v>1360</v>
      </c>
      <c r="D648" s="8" t="s">
        <v>4132</v>
      </c>
      <c r="E648" s="8" t="s">
        <v>4133</v>
      </c>
      <c r="F648" s="8" t="s">
        <v>4127</v>
      </c>
      <c r="G648" s="6" t="s">
        <v>83</v>
      </c>
      <c r="H648" s="6" t="s">
        <v>317</v>
      </c>
      <c r="I648" s="8" t="s">
        <v>492</v>
      </c>
      <c r="J648" s="9">
        <v>1</v>
      </c>
      <c r="K648" s="9">
        <v>296</v>
      </c>
      <c r="L648" s="9">
        <v>2024</v>
      </c>
      <c r="M648" s="8" t="s">
        <v>4134</v>
      </c>
      <c r="N648" s="8" t="s">
        <v>74</v>
      </c>
      <c r="O648" s="8" t="s">
        <v>394</v>
      </c>
      <c r="P648" s="6" t="s">
        <v>176</v>
      </c>
      <c r="Q648" s="8" t="s">
        <v>207</v>
      </c>
      <c r="R648" s="10" t="s">
        <v>2676</v>
      </c>
      <c r="S648" s="11"/>
      <c r="T648" s="6"/>
      <c r="U648" s="28" t="str">
        <f>HYPERLINK("https://media.infra-m.ru/2062/2062316/cover/2062316.jpg", "Обложка")</f>
        <v>Обложка</v>
      </c>
      <c r="V648" s="28" t="str">
        <f>HYPERLINK("https://znanium.ru/catalog/product/2062316", "Ознакомиться")</f>
        <v>Ознакомиться</v>
      </c>
      <c r="W648" s="8" t="s">
        <v>4129</v>
      </c>
      <c r="X648" s="6"/>
      <c r="Y648" s="6"/>
      <c r="Z648" s="6" t="s">
        <v>235</v>
      </c>
      <c r="AA648" s="6" t="s">
        <v>141</v>
      </c>
    </row>
    <row r="649" spans="1:27" s="4" customFormat="1" ht="51.95" customHeight="1">
      <c r="A649" s="5">
        <v>0</v>
      </c>
      <c r="B649" s="6" t="s">
        <v>4135</v>
      </c>
      <c r="C649" s="13">
        <v>660</v>
      </c>
      <c r="D649" s="8" t="s">
        <v>4136</v>
      </c>
      <c r="E649" s="8" t="s">
        <v>4137</v>
      </c>
      <c r="F649" s="8" t="s">
        <v>3703</v>
      </c>
      <c r="G649" s="6" t="s">
        <v>37</v>
      </c>
      <c r="H649" s="6" t="s">
        <v>38</v>
      </c>
      <c r="I649" s="8" t="s">
        <v>205</v>
      </c>
      <c r="J649" s="9">
        <v>1</v>
      </c>
      <c r="K649" s="9">
        <v>141</v>
      </c>
      <c r="L649" s="9">
        <v>2024</v>
      </c>
      <c r="M649" s="8" t="s">
        <v>4138</v>
      </c>
      <c r="N649" s="8" t="s">
        <v>74</v>
      </c>
      <c r="O649" s="8" t="s">
        <v>394</v>
      </c>
      <c r="P649" s="6" t="s">
        <v>55</v>
      </c>
      <c r="Q649" s="8" t="s">
        <v>207</v>
      </c>
      <c r="R649" s="10" t="s">
        <v>4139</v>
      </c>
      <c r="S649" s="11" t="s">
        <v>4140</v>
      </c>
      <c r="T649" s="6"/>
      <c r="U649" s="28" t="str">
        <f>HYPERLINK("https://media.infra-m.ru/2103/2103724/cover/2103724.jpg", "Обложка")</f>
        <v>Обложка</v>
      </c>
      <c r="V649" s="28" t="str">
        <f>HYPERLINK("https://znanium.ru/catalog/product/2103724", "Ознакомиться")</f>
        <v>Ознакомиться</v>
      </c>
      <c r="W649" s="8" t="s">
        <v>159</v>
      </c>
      <c r="X649" s="6"/>
      <c r="Y649" s="6"/>
      <c r="Z649" s="6" t="s">
        <v>235</v>
      </c>
      <c r="AA649" s="6" t="s">
        <v>78</v>
      </c>
    </row>
    <row r="650" spans="1:27" s="4" customFormat="1" ht="51.95" customHeight="1">
      <c r="A650" s="5">
        <v>0</v>
      </c>
      <c r="B650" s="6" t="s">
        <v>4141</v>
      </c>
      <c r="C650" s="13">
        <v>664</v>
      </c>
      <c r="D650" s="8" t="s">
        <v>4142</v>
      </c>
      <c r="E650" s="8" t="s">
        <v>4137</v>
      </c>
      <c r="F650" s="8" t="s">
        <v>3703</v>
      </c>
      <c r="G650" s="6" t="s">
        <v>37</v>
      </c>
      <c r="H650" s="6" t="s">
        <v>38</v>
      </c>
      <c r="I650" s="8" t="s">
        <v>164</v>
      </c>
      <c r="J650" s="9">
        <v>1</v>
      </c>
      <c r="K650" s="9">
        <v>141</v>
      </c>
      <c r="L650" s="9">
        <v>2024</v>
      </c>
      <c r="M650" s="8" t="s">
        <v>4143</v>
      </c>
      <c r="N650" s="8" t="s">
        <v>74</v>
      </c>
      <c r="O650" s="8" t="s">
        <v>394</v>
      </c>
      <c r="P650" s="6" t="s">
        <v>55</v>
      </c>
      <c r="Q650" s="8" t="s">
        <v>56</v>
      </c>
      <c r="R650" s="10" t="s">
        <v>4144</v>
      </c>
      <c r="S650" s="11" t="s">
        <v>4145</v>
      </c>
      <c r="T650" s="6"/>
      <c r="U650" s="28" t="str">
        <f>HYPERLINK("https://media.infra-m.ru/2152/2152200/cover/2152200.jpg", "Обложка")</f>
        <v>Обложка</v>
      </c>
      <c r="V650" s="28" t="str">
        <f>HYPERLINK("https://znanium.ru/catalog/product/1932348", "Ознакомиться")</f>
        <v>Ознакомиться</v>
      </c>
      <c r="W650" s="8" t="s">
        <v>159</v>
      </c>
      <c r="X650" s="6"/>
      <c r="Y650" s="6"/>
      <c r="Z650" s="6"/>
      <c r="AA650" s="6" t="s">
        <v>68</v>
      </c>
    </row>
    <row r="651" spans="1:27" s="4" customFormat="1" ht="51.95" customHeight="1">
      <c r="A651" s="5">
        <v>0</v>
      </c>
      <c r="B651" s="6" t="s">
        <v>4146</v>
      </c>
      <c r="C651" s="13">
        <v>790</v>
      </c>
      <c r="D651" s="8" t="s">
        <v>4147</v>
      </c>
      <c r="E651" s="8" t="s">
        <v>4148</v>
      </c>
      <c r="F651" s="8" t="s">
        <v>4149</v>
      </c>
      <c r="G651" s="6" t="s">
        <v>37</v>
      </c>
      <c r="H651" s="6" t="s">
        <v>38</v>
      </c>
      <c r="I651" s="8" t="s">
        <v>155</v>
      </c>
      <c r="J651" s="9">
        <v>1</v>
      </c>
      <c r="K651" s="9">
        <v>163</v>
      </c>
      <c r="L651" s="9">
        <v>2023</v>
      </c>
      <c r="M651" s="8" t="s">
        <v>4150</v>
      </c>
      <c r="N651" s="8" t="s">
        <v>74</v>
      </c>
      <c r="O651" s="8" t="s">
        <v>75</v>
      </c>
      <c r="P651" s="6" t="s">
        <v>55</v>
      </c>
      <c r="Q651" s="8" t="s">
        <v>56</v>
      </c>
      <c r="R651" s="10" t="s">
        <v>4151</v>
      </c>
      <c r="S651" s="11" t="s">
        <v>4152</v>
      </c>
      <c r="T651" s="6" t="s">
        <v>190</v>
      </c>
      <c r="U651" s="28" t="str">
        <f>HYPERLINK("https://media.infra-m.ru/2006/2006060/cover/2006060.jpg", "Обложка")</f>
        <v>Обложка</v>
      </c>
      <c r="V651" s="28" t="str">
        <f>HYPERLINK("https://znanium.ru/catalog/product/2006060", "Ознакомиться")</f>
        <v>Ознакомиться</v>
      </c>
      <c r="W651" s="8" t="s">
        <v>4153</v>
      </c>
      <c r="X651" s="6"/>
      <c r="Y651" s="6"/>
      <c r="Z651" s="6"/>
      <c r="AA651" s="6" t="s">
        <v>78</v>
      </c>
    </row>
    <row r="652" spans="1:27" s="4" customFormat="1" ht="51.95" customHeight="1">
      <c r="A652" s="5">
        <v>0</v>
      </c>
      <c r="B652" s="6" t="s">
        <v>4154</v>
      </c>
      <c r="C652" s="13">
        <v>750</v>
      </c>
      <c r="D652" s="8" t="s">
        <v>4155</v>
      </c>
      <c r="E652" s="8" t="s">
        <v>4148</v>
      </c>
      <c r="F652" s="8" t="s">
        <v>4149</v>
      </c>
      <c r="G652" s="6" t="s">
        <v>83</v>
      </c>
      <c r="H652" s="6" t="s">
        <v>38</v>
      </c>
      <c r="I652" s="8" t="s">
        <v>205</v>
      </c>
      <c r="J652" s="9">
        <v>1</v>
      </c>
      <c r="K652" s="9">
        <v>163</v>
      </c>
      <c r="L652" s="9">
        <v>2024</v>
      </c>
      <c r="M652" s="8" t="s">
        <v>4156</v>
      </c>
      <c r="N652" s="8" t="s">
        <v>74</v>
      </c>
      <c r="O652" s="8" t="s">
        <v>75</v>
      </c>
      <c r="P652" s="6" t="s">
        <v>55</v>
      </c>
      <c r="Q652" s="8" t="s">
        <v>207</v>
      </c>
      <c r="R652" s="10" t="s">
        <v>4157</v>
      </c>
      <c r="S652" s="11" t="s">
        <v>4158</v>
      </c>
      <c r="T652" s="6"/>
      <c r="U652" s="28" t="str">
        <f>HYPERLINK("https://media.infra-m.ru/2102/2102729/cover/2102729.jpg", "Обложка")</f>
        <v>Обложка</v>
      </c>
      <c r="V652" s="28" t="str">
        <f>HYPERLINK("https://znanium.ru/catalog/product/2102729", "Ознакомиться")</f>
        <v>Ознакомиться</v>
      </c>
      <c r="W652" s="8" t="s">
        <v>4153</v>
      </c>
      <c r="X652" s="6"/>
      <c r="Y652" s="6"/>
      <c r="Z652" s="6" t="s">
        <v>235</v>
      </c>
      <c r="AA652" s="6" t="s">
        <v>141</v>
      </c>
    </row>
    <row r="653" spans="1:27" s="4" customFormat="1" ht="51.95" customHeight="1">
      <c r="A653" s="5">
        <v>0</v>
      </c>
      <c r="B653" s="6" t="s">
        <v>4159</v>
      </c>
      <c r="C653" s="7">
        <v>1110</v>
      </c>
      <c r="D653" s="8" t="s">
        <v>4160</v>
      </c>
      <c r="E653" s="8" t="s">
        <v>4161</v>
      </c>
      <c r="F653" s="8" t="s">
        <v>4162</v>
      </c>
      <c r="G653" s="6" t="s">
        <v>83</v>
      </c>
      <c r="H653" s="6" t="s">
        <v>1701</v>
      </c>
      <c r="I653" s="8" t="s">
        <v>205</v>
      </c>
      <c r="J653" s="9">
        <v>1</v>
      </c>
      <c r="K653" s="9">
        <v>240</v>
      </c>
      <c r="L653" s="9">
        <v>2024</v>
      </c>
      <c r="M653" s="8" t="s">
        <v>4163</v>
      </c>
      <c r="N653" s="8" t="s">
        <v>74</v>
      </c>
      <c r="O653" s="8" t="s">
        <v>109</v>
      </c>
      <c r="P653" s="6" t="s">
        <v>176</v>
      </c>
      <c r="Q653" s="8" t="s">
        <v>207</v>
      </c>
      <c r="R653" s="10" t="s">
        <v>4164</v>
      </c>
      <c r="S653" s="11" t="s">
        <v>209</v>
      </c>
      <c r="T653" s="6"/>
      <c r="U653" s="28" t="str">
        <f>HYPERLINK("https://media.infra-m.ru/2130/2130168/cover/2130168.jpg", "Обложка")</f>
        <v>Обложка</v>
      </c>
      <c r="V653" s="28" t="str">
        <f>HYPERLINK("https://znanium.ru/catalog/product/2130168", "Ознакомиться")</f>
        <v>Ознакомиться</v>
      </c>
      <c r="W653" s="8" t="s">
        <v>2712</v>
      </c>
      <c r="X653" s="6"/>
      <c r="Y653" s="6"/>
      <c r="Z653" s="6"/>
      <c r="AA653" s="6" t="s">
        <v>861</v>
      </c>
    </row>
    <row r="654" spans="1:27" s="4" customFormat="1" ht="51.95" customHeight="1">
      <c r="A654" s="5">
        <v>0</v>
      </c>
      <c r="B654" s="6" t="s">
        <v>4165</v>
      </c>
      <c r="C654" s="7">
        <v>1294</v>
      </c>
      <c r="D654" s="8" t="s">
        <v>4166</v>
      </c>
      <c r="E654" s="8" t="s">
        <v>4167</v>
      </c>
      <c r="F654" s="8" t="s">
        <v>4168</v>
      </c>
      <c r="G654" s="6" t="s">
        <v>83</v>
      </c>
      <c r="H654" s="6" t="s">
        <v>38</v>
      </c>
      <c r="I654" s="8" t="s">
        <v>205</v>
      </c>
      <c r="J654" s="9">
        <v>1</v>
      </c>
      <c r="K654" s="9">
        <v>281</v>
      </c>
      <c r="L654" s="9">
        <v>2024</v>
      </c>
      <c r="M654" s="8" t="s">
        <v>4169</v>
      </c>
      <c r="N654" s="8" t="s">
        <v>74</v>
      </c>
      <c r="O654" s="8" t="s">
        <v>75</v>
      </c>
      <c r="P654" s="6" t="s">
        <v>55</v>
      </c>
      <c r="Q654" s="8" t="s">
        <v>207</v>
      </c>
      <c r="R654" s="10" t="s">
        <v>4170</v>
      </c>
      <c r="S654" s="11" t="s">
        <v>4171</v>
      </c>
      <c r="T654" s="6"/>
      <c r="U654" s="28" t="str">
        <f>HYPERLINK("https://media.infra-m.ru/2127/2127084/cover/2127084.jpg", "Обложка")</f>
        <v>Обложка</v>
      </c>
      <c r="V654" s="28" t="str">
        <f>HYPERLINK("https://znanium.ru/catalog/product/1864108", "Ознакомиться")</f>
        <v>Ознакомиться</v>
      </c>
      <c r="W654" s="8" t="s">
        <v>4172</v>
      </c>
      <c r="X654" s="6"/>
      <c r="Y654" s="6"/>
      <c r="Z654" s="6"/>
      <c r="AA654" s="6" t="s">
        <v>193</v>
      </c>
    </row>
    <row r="655" spans="1:27" s="4" customFormat="1" ht="51.95" customHeight="1">
      <c r="A655" s="5">
        <v>0</v>
      </c>
      <c r="B655" s="6" t="s">
        <v>4173</v>
      </c>
      <c r="C655" s="7">
        <v>1540</v>
      </c>
      <c r="D655" s="8" t="s">
        <v>4174</v>
      </c>
      <c r="E655" s="8" t="s">
        <v>4175</v>
      </c>
      <c r="F655" s="8" t="s">
        <v>4176</v>
      </c>
      <c r="G655" s="6" t="s">
        <v>83</v>
      </c>
      <c r="H655" s="6" t="s">
        <v>1701</v>
      </c>
      <c r="I655" s="8" t="s">
        <v>3518</v>
      </c>
      <c r="J655" s="9">
        <v>1</v>
      </c>
      <c r="K655" s="9">
        <v>334</v>
      </c>
      <c r="L655" s="9">
        <v>2024</v>
      </c>
      <c r="M655" s="8" t="s">
        <v>4177</v>
      </c>
      <c r="N655" s="8" t="s">
        <v>74</v>
      </c>
      <c r="O655" s="8" t="s">
        <v>93</v>
      </c>
      <c r="P655" s="6" t="s">
        <v>176</v>
      </c>
      <c r="Q655" s="8" t="s">
        <v>56</v>
      </c>
      <c r="R655" s="10" t="s">
        <v>4178</v>
      </c>
      <c r="S655" s="11" t="s">
        <v>4179</v>
      </c>
      <c r="T655" s="6"/>
      <c r="U655" s="28" t="str">
        <f>HYPERLINK("https://media.infra-m.ru/2085/2085044/cover/2085044.jpg", "Обложка")</f>
        <v>Обложка</v>
      </c>
      <c r="V655" s="28" t="str">
        <f>HYPERLINK("https://znanium.ru/catalog/product/2085044", "Ознакомиться")</f>
        <v>Ознакомиться</v>
      </c>
      <c r="W655" s="8" t="s">
        <v>2740</v>
      </c>
      <c r="X655" s="6"/>
      <c r="Y655" s="6"/>
      <c r="Z655" s="6"/>
      <c r="AA655" s="6" t="s">
        <v>4180</v>
      </c>
    </row>
    <row r="656" spans="1:27" s="4" customFormat="1" ht="51.95" customHeight="1">
      <c r="A656" s="5">
        <v>0</v>
      </c>
      <c r="B656" s="6" t="s">
        <v>4181</v>
      </c>
      <c r="C656" s="13">
        <v>290</v>
      </c>
      <c r="D656" s="8" t="s">
        <v>4182</v>
      </c>
      <c r="E656" s="8" t="s">
        <v>4183</v>
      </c>
      <c r="F656" s="8" t="s">
        <v>4184</v>
      </c>
      <c r="G656" s="6" t="s">
        <v>37</v>
      </c>
      <c r="H656" s="6" t="s">
        <v>52</v>
      </c>
      <c r="I656" s="8"/>
      <c r="J656" s="9">
        <v>1</v>
      </c>
      <c r="K656" s="9">
        <v>72</v>
      </c>
      <c r="L656" s="9">
        <v>2019</v>
      </c>
      <c r="M656" s="8" t="s">
        <v>4185</v>
      </c>
      <c r="N656" s="8" t="s">
        <v>74</v>
      </c>
      <c r="O656" s="8" t="s">
        <v>75</v>
      </c>
      <c r="P656" s="6" t="s">
        <v>1604</v>
      </c>
      <c r="Q656" s="8" t="s">
        <v>56</v>
      </c>
      <c r="R656" s="10" t="s">
        <v>4186</v>
      </c>
      <c r="S656" s="11"/>
      <c r="T656" s="6"/>
      <c r="U656" s="28" t="str">
        <f>HYPERLINK("https://media.infra-m.ru/0987/0987259/cover/987259.jpg", "Обложка")</f>
        <v>Обложка</v>
      </c>
      <c r="V656" s="28" t="str">
        <f>HYPERLINK("https://znanium.ru/catalog/product/2147715", "Ознакомиться")</f>
        <v>Ознакомиться</v>
      </c>
      <c r="W656" s="8" t="s">
        <v>962</v>
      </c>
      <c r="X656" s="6"/>
      <c r="Y656" s="6"/>
      <c r="Z656" s="6"/>
      <c r="AA656" s="6" t="s">
        <v>364</v>
      </c>
    </row>
    <row r="657" spans="1:27" s="4" customFormat="1" ht="51.95" customHeight="1">
      <c r="A657" s="5">
        <v>0</v>
      </c>
      <c r="B657" s="6" t="s">
        <v>4187</v>
      </c>
      <c r="C657" s="13">
        <v>560</v>
      </c>
      <c r="D657" s="8" t="s">
        <v>4188</v>
      </c>
      <c r="E657" s="8" t="s">
        <v>4189</v>
      </c>
      <c r="F657" s="8" t="s">
        <v>4184</v>
      </c>
      <c r="G657" s="6" t="s">
        <v>37</v>
      </c>
      <c r="H657" s="6" t="s">
        <v>38</v>
      </c>
      <c r="I657" s="8" t="s">
        <v>155</v>
      </c>
      <c r="J657" s="9">
        <v>1</v>
      </c>
      <c r="K657" s="9">
        <v>99</v>
      </c>
      <c r="L657" s="9">
        <v>2024</v>
      </c>
      <c r="M657" s="8" t="s">
        <v>4190</v>
      </c>
      <c r="N657" s="8" t="s">
        <v>74</v>
      </c>
      <c r="O657" s="8" t="s">
        <v>75</v>
      </c>
      <c r="P657" s="6" t="s">
        <v>55</v>
      </c>
      <c r="Q657" s="8" t="s">
        <v>56</v>
      </c>
      <c r="R657" s="10" t="s">
        <v>4186</v>
      </c>
      <c r="S657" s="11" t="s">
        <v>4191</v>
      </c>
      <c r="T657" s="6"/>
      <c r="U657" s="28" t="str">
        <f>HYPERLINK("https://media.infra-m.ru/2147/2147715/cover/2147715.jpg", "Обложка")</f>
        <v>Обложка</v>
      </c>
      <c r="V657" s="28" t="str">
        <f>HYPERLINK("https://znanium.ru/catalog/product/2147715", "Ознакомиться")</f>
        <v>Ознакомиться</v>
      </c>
      <c r="W657" s="8" t="s">
        <v>962</v>
      </c>
      <c r="X657" s="6"/>
      <c r="Y657" s="6"/>
      <c r="Z657" s="6"/>
      <c r="AA657" s="6" t="s">
        <v>1006</v>
      </c>
    </row>
    <row r="658" spans="1:27" s="4" customFormat="1" ht="51.95" customHeight="1">
      <c r="A658" s="5">
        <v>0</v>
      </c>
      <c r="B658" s="6" t="s">
        <v>4192</v>
      </c>
      <c r="C658" s="7">
        <v>1094</v>
      </c>
      <c r="D658" s="8" t="s">
        <v>4193</v>
      </c>
      <c r="E658" s="8" t="s">
        <v>4194</v>
      </c>
      <c r="F658" s="8" t="s">
        <v>4195</v>
      </c>
      <c r="G658" s="6" t="s">
        <v>123</v>
      </c>
      <c r="H658" s="6" t="s">
        <v>934</v>
      </c>
      <c r="I658" s="8" t="s">
        <v>155</v>
      </c>
      <c r="J658" s="9">
        <v>1</v>
      </c>
      <c r="K658" s="9">
        <v>239</v>
      </c>
      <c r="L658" s="9">
        <v>2024</v>
      </c>
      <c r="M658" s="8" t="s">
        <v>4196</v>
      </c>
      <c r="N658" s="8" t="s">
        <v>41</v>
      </c>
      <c r="O658" s="8" t="s">
        <v>65</v>
      </c>
      <c r="P658" s="6" t="s">
        <v>55</v>
      </c>
      <c r="Q658" s="8" t="s">
        <v>56</v>
      </c>
      <c r="R658" s="10" t="s">
        <v>3495</v>
      </c>
      <c r="S658" s="11" t="s">
        <v>4197</v>
      </c>
      <c r="T658" s="6"/>
      <c r="U658" s="28" t="str">
        <f>HYPERLINK("https://media.infra-m.ru/2126/2126308/cover/2126308.jpg", "Обложка")</f>
        <v>Обложка</v>
      </c>
      <c r="V658" s="28" t="str">
        <f>HYPERLINK("https://znanium.ru/catalog/product/1280630", "Ознакомиться")</f>
        <v>Ознакомиться</v>
      </c>
      <c r="W658" s="8" t="s">
        <v>297</v>
      </c>
      <c r="X658" s="6"/>
      <c r="Y658" s="6"/>
      <c r="Z658" s="6"/>
      <c r="AA658" s="6" t="s">
        <v>274</v>
      </c>
    </row>
    <row r="659" spans="1:27" s="4" customFormat="1" ht="51.95" customHeight="1">
      <c r="A659" s="5">
        <v>0</v>
      </c>
      <c r="B659" s="6" t="s">
        <v>4198</v>
      </c>
      <c r="C659" s="7">
        <v>1300</v>
      </c>
      <c r="D659" s="8" t="s">
        <v>4199</v>
      </c>
      <c r="E659" s="8" t="s">
        <v>4200</v>
      </c>
      <c r="F659" s="8" t="s">
        <v>4201</v>
      </c>
      <c r="G659" s="6" t="s">
        <v>83</v>
      </c>
      <c r="H659" s="6" t="s">
        <v>1701</v>
      </c>
      <c r="I659" s="8" t="s">
        <v>205</v>
      </c>
      <c r="J659" s="9">
        <v>1</v>
      </c>
      <c r="K659" s="9">
        <v>288</v>
      </c>
      <c r="L659" s="9">
        <v>2023</v>
      </c>
      <c r="M659" s="8" t="s">
        <v>4202</v>
      </c>
      <c r="N659" s="8" t="s">
        <v>74</v>
      </c>
      <c r="O659" s="8" t="s">
        <v>109</v>
      </c>
      <c r="P659" s="6" t="s">
        <v>176</v>
      </c>
      <c r="Q659" s="8" t="s">
        <v>207</v>
      </c>
      <c r="R659" s="10" t="s">
        <v>4203</v>
      </c>
      <c r="S659" s="11" t="s">
        <v>209</v>
      </c>
      <c r="T659" s="6"/>
      <c r="U659" s="28" t="str">
        <f>HYPERLINK("https://media.infra-m.ru/1979/1979975/cover/1979975.jpg", "Обложка")</f>
        <v>Обложка</v>
      </c>
      <c r="V659" s="28" t="str">
        <f>HYPERLINK("https://znanium.ru/catalog/product/1979975", "Ознакомиться")</f>
        <v>Ознакомиться</v>
      </c>
      <c r="W659" s="8" t="s">
        <v>2712</v>
      </c>
      <c r="X659" s="6"/>
      <c r="Y659" s="6"/>
      <c r="Z659" s="6"/>
      <c r="AA659" s="6" t="s">
        <v>2895</v>
      </c>
    </row>
    <row r="660" spans="1:27" s="4" customFormat="1" ht="44.1" customHeight="1">
      <c r="A660" s="5">
        <v>0</v>
      </c>
      <c r="B660" s="6" t="s">
        <v>4204</v>
      </c>
      <c r="C660" s="7">
        <v>1510</v>
      </c>
      <c r="D660" s="8" t="s">
        <v>4205</v>
      </c>
      <c r="E660" s="8" t="s">
        <v>4206</v>
      </c>
      <c r="F660" s="8" t="s">
        <v>2147</v>
      </c>
      <c r="G660" s="6" t="s">
        <v>123</v>
      </c>
      <c r="H660" s="6" t="s">
        <v>38</v>
      </c>
      <c r="I660" s="8" t="s">
        <v>155</v>
      </c>
      <c r="J660" s="9">
        <v>1</v>
      </c>
      <c r="K660" s="9">
        <v>315</v>
      </c>
      <c r="L660" s="9">
        <v>2024</v>
      </c>
      <c r="M660" s="8" t="s">
        <v>4207</v>
      </c>
      <c r="N660" s="8" t="s">
        <v>74</v>
      </c>
      <c r="O660" s="8" t="s">
        <v>93</v>
      </c>
      <c r="P660" s="6" t="s">
        <v>55</v>
      </c>
      <c r="Q660" s="8" t="s">
        <v>56</v>
      </c>
      <c r="R660" s="10" t="s">
        <v>4208</v>
      </c>
      <c r="S660" s="11"/>
      <c r="T660" s="6"/>
      <c r="U660" s="28" t="str">
        <f>HYPERLINK("https://media.infra-m.ru/1860/1860990/cover/1860990.jpg", "Обложка")</f>
        <v>Обложка</v>
      </c>
      <c r="V660" s="28" t="str">
        <f>HYPERLINK("https://znanium.ru/catalog/product/1860990", "Ознакомиться")</f>
        <v>Ознакомиться</v>
      </c>
      <c r="W660" s="8" t="s">
        <v>998</v>
      </c>
      <c r="X660" s="6" t="s">
        <v>179</v>
      </c>
      <c r="Y660" s="6"/>
      <c r="Z660" s="6"/>
      <c r="AA660" s="6" t="s">
        <v>180</v>
      </c>
    </row>
    <row r="661" spans="1:27" s="4" customFormat="1" ht="44.1" customHeight="1">
      <c r="A661" s="5">
        <v>0</v>
      </c>
      <c r="B661" s="6" t="s">
        <v>4209</v>
      </c>
      <c r="C661" s="13">
        <v>850</v>
      </c>
      <c r="D661" s="8" t="s">
        <v>4210</v>
      </c>
      <c r="E661" s="8" t="s">
        <v>4211</v>
      </c>
      <c r="F661" s="8" t="s">
        <v>4212</v>
      </c>
      <c r="G661" s="6" t="s">
        <v>123</v>
      </c>
      <c r="H661" s="6" t="s">
        <v>38</v>
      </c>
      <c r="I661" s="8" t="s">
        <v>4213</v>
      </c>
      <c r="J661" s="9">
        <v>1</v>
      </c>
      <c r="K661" s="9">
        <v>175</v>
      </c>
      <c r="L661" s="9">
        <v>2023</v>
      </c>
      <c r="M661" s="8" t="s">
        <v>4214</v>
      </c>
      <c r="N661" s="8" t="s">
        <v>41</v>
      </c>
      <c r="O661" s="8" t="s">
        <v>65</v>
      </c>
      <c r="P661" s="6" t="s">
        <v>55</v>
      </c>
      <c r="Q661" s="8" t="s">
        <v>56</v>
      </c>
      <c r="R661" s="10" t="s">
        <v>4215</v>
      </c>
      <c r="S661" s="11"/>
      <c r="T661" s="6"/>
      <c r="U661" s="28" t="str">
        <f>HYPERLINK("https://media.infra-m.ru/1013/1013724/cover/1013724.jpg", "Обложка")</f>
        <v>Обложка</v>
      </c>
      <c r="V661" s="28" t="str">
        <f>HYPERLINK("https://znanium.ru/catalog/product/1013724", "Ознакомиться")</f>
        <v>Ознакомиться</v>
      </c>
      <c r="W661" s="8" t="s">
        <v>4216</v>
      </c>
      <c r="X661" s="6"/>
      <c r="Y661" s="6"/>
      <c r="Z661" s="6"/>
      <c r="AA661" s="6" t="s">
        <v>111</v>
      </c>
    </row>
    <row r="662" spans="1:27" s="4" customFormat="1" ht="51.95" customHeight="1">
      <c r="A662" s="5">
        <v>0</v>
      </c>
      <c r="B662" s="6" t="s">
        <v>4217</v>
      </c>
      <c r="C662" s="7">
        <v>2700</v>
      </c>
      <c r="D662" s="8" t="s">
        <v>4218</v>
      </c>
      <c r="E662" s="8" t="s">
        <v>4219</v>
      </c>
      <c r="F662" s="8" t="s">
        <v>4220</v>
      </c>
      <c r="G662" s="6" t="s">
        <v>123</v>
      </c>
      <c r="H662" s="6" t="s">
        <v>38</v>
      </c>
      <c r="I662" s="8" t="s">
        <v>155</v>
      </c>
      <c r="J662" s="9">
        <v>1</v>
      </c>
      <c r="K662" s="9">
        <v>660</v>
      </c>
      <c r="L662" s="9">
        <v>2024</v>
      </c>
      <c r="M662" s="8" t="s">
        <v>4221</v>
      </c>
      <c r="N662" s="8" t="s">
        <v>74</v>
      </c>
      <c r="O662" s="8" t="s">
        <v>109</v>
      </c>
      <c r="P662" s="6" t="s">
        <v>176</v>
      </c>
      <c r="Q662" s="8" t="s">
        <v>177</v>
      </c>
      <c r="R662" s="10" t="s">
        <v>1498</v>
      </c>
      <c r="S662" s="11" t="s">
        <v>4222</v>
      </c>
      <c r="T662" s="6" t="s">
        <v>190</v>
      </c>
      <c r="U662" s="28" t="str">
        <f>HYPERLINK("https://media.infra-m.ru/2133/2133536/cover/2133536.jpg", "Обложка")</f>
        <v>Обложка</v>
      </c>
      <c r="V662" s="28" t="str">
        <f>HYPERLINK("https://znanium.ru/catalog/product/2133536", "Ознакомиться")</f>
        <v>Ознакомиться</v>
      </c>
      <c r="W662" s="8" t="s">
        <v>4223</v>
      </c>
      <c r="X662" s="6"/>
      <c r="Y662" s="6"/>
      <c r="Z662" s="6"/>
      <c r="AA662" s="6" t="s">
        <v>1006</v>
      </c>
    </row>
    <row r="663" spans="1:27" s="4" customFormat="1" ht="51.95" customHeight="1">
      <c r="A663" s="5">
        <v>0</v>
      </c>
      <c r="B663" s="6" t="s">
        <v>4224</v>
      </c>
      <c r="C663" s="7">
        <v>2900</v>
      </c>
      <c r="D663" s="8" t="s">
        <v>4225</v>
      </c>
      <c r="E663" s="8" t="s">
        <v>4219</v>
      </c>
      <c r="F663" s="8" t="s">
        <v>4220</v>
      </c>
      <c r="G663" s="6" t="s">
        <v>123</v>
      </c>
      <c r="H663" s="6" t="s">
        <v>38</v>
      </c>
      <c r="I663" s="8" t="s">
        <v>185</v>
      </c>
      <c r="J663" s="9">
        <v>1</v>
      </c>
      <c r="K663" s="9">
        <v>660</v>
      </c>
      <c r="L663" s="9">
        <v>2024</v>
      </c>
      <c r="M663" s="8" t="s">
        <v>4226</v>
      </c>
      <c r="N663" s="8" t="s">
        <v>74</v>
      </c>
      <c r="O663" s="8" t="s">
        <v>109</v>
      </c>
      <c r="P663" s="6" t="s">
        <v>176</v>
      </c>
      <c r="Q663" s="8" t="s">
        <v>187</v>
      </c>
      <c r="R663" s="10" t="s">
        <v>4227</v>
      </c>
      <c r="S663" s="11" t="s">
        <v>4228</v>
      </c>
      <c r="T663" s="6" t="s">
        <v>190</v>
      </c>
      <c r="U663" s="28" t="str">
        <f>HYPERLINK("https://media.infra-m.ru/2073/2073492/cover/2073492.jpg", "Обложка")</f>
        <v>Обложка</v>
      </c>
      <c r="V663" s="28" t="str">
        <f>HYPERLINK("https://znanium.ru/catalog/product/2073492", "Ознакомиться")</f>
        <v>Ознакомиться</v>
      </c>
      <c r="W663" s="8" t="s">
        <v>4223</v>
      </c>
      <c r="X663" s="6"/>
      <c r="Y663" s="6"/>
      <c r="Z663" s="6" t="s">
        <v>4229</v>
      </c>
      <c r="AA663" s="6" t="s">
        <v>1006</v>
      </c>
    </row>
    <row r="664" spans="1:27" s="4" customFormat="1" ht="51.95" customHeight="1">
      <c r="A664" s="5">
        <v>0</v>
      </c>
      <c r="B664" s="6" t="s">
        <v>4230</v>
      </c>
      <c r="C664" s="7">
        <v>1004</v>
      </c>
      <c r="D664" s="8" t="s">
        <v>4231</v>
      </c>
      <c r="E664" s="8" t="s">
        <v>4232</v>
      </c>
      <c r="F664" s="8" t="s">
        <v>4233</v>
      </c>
      <c r="G664" s="6" t="s">
        <v>83</v>
      </c>
      <c r="H664" s="6" t="s">
        <v>38</v>
      </c>
      <c r="I664" s="8" t="s">
        <v>155</v>
      </c>
      <c r="J664" s="9">
        <v>1</v>
      </c>
      <c r="K664" s="9">
        <v>205</v>
      </c>
      <c r="L664" s="9">
        <v>2023</v>
      </c>
      <c r="M664" s="8" t="s">
        <v>4234</v>
      </c>
      <c r="N664" s="8" t="s">
        <v>74</v>
      </c>
      <c r="O664" s="8" t="s">
        <v>75</v>
      </c>
      <c r="P664" s="6" t="s">
        <v>176</v>
      </c>
      <c r="Q664" s="8" t="s">
        <v>177</v>
      </c>
      <c r="R664" s="10" t="s">
        <v>4235</v>
      </c>
      <c r="S664" s="11" t="s">
        <v>4236</v>
      </c>
      <c r="T664" s="6"/>
      <c r="U664" s="28" t="str">
        <f>HYPERLINK("https://media.infra-m.ru/2081/2081018/cover/2081018.jpg", "Обложка")</f>
        <v>Обложка</v>
      </c>
      <c r="V664" s="28" t="str">
        <f>HYPERLINK("https://znanium.ru/catalog/product/2063428", "Ознакомиться")</f>
        <v>Ознакомиться</v>
      </c>
      <c r="W664" s="8" t="s">
        <v>3382</v>
      </c>
      <c r="X664" s="6"/>
      <c r="Y664" s="6"/>
      <c r="Z664" s="6"/>
      <c r="AA664" s="6" t="s">
        <v>103</v>
      </c>
    </row>
    <row r="665" spans="1:27" s="4" customFormat="1" ht="44.1" customHeight="1">
      <c r="A665" s="5">
        <v>0</v>
      </c>
      <c r="B665" s="6" t="s">
        <v>4237</v>
      </c>
      <c r="C665" s="13">
        <v>614.9</v>
      </c>
      <c r="D665" s="8" t="s">
        <v>4238</v>
      </c>
      <c r="E665" s="8" t="s">
        <v>4239</v>
      </c>
      <c r="F665" s="8" t="s">
        <v>4240</v>
      </c>
      <c r="G665" s="6" t="s">
        <v>123</v>
      </c>
      <c r="H665" s="6" t="s">
        <v>618</v>
      </c>
      <c r="I665" s="8"/>
      <c r="J665" s="9">
        <v>1</v>
      </c>
      <c r="K665" s="9">
        <v>152</v>
      </c>
      <c r="L665" s="9">
        <v>2022</v>
      </c>
      <c r="M665" s="8" t="s">
        <v>4241</v>
      </c>
      <c r="N665" s="8" t="s">
        <v>74</v>
      </c>
      <c r="O665" s="8" t="s">
        <v>75</v>
      </c>
      <c r="P665" s="6" t="s">
        <v>55</v>
      </c>
      <c r="Q665" s="8" t="s">
        <v>56</v>
      </c>
      <c r="R665" s="10" t="s">
        <v>4242</v>
      </c>
      <c r="S665" s="11"/>
      <c r="T665" s="6"/>
      <c r="U665" s="28" t="str">
        <f>HYPERLINK("https://media.infra-m.ru/1220/1220286/cover/1220286.jpg", "Обложка")</f>
        <v>Обложка</v>
      </c>
      <c r="V665" s="28" t="str">
        <f>HYPERLINK("https://znanium.ru/catalog/product/1996451", "Ознакомиться")</f>
        <v>Ознакомиться</v>
      </c>
      <c r="W665" s="8" t="s">
        <v>1334</v>
      </c>
      <c r="X665" s="6"/>
      <c r="Y665" s="6"/>
      <c r="Z665" s="6"/>
      <c r="AA665" s="6" t="s">
        <v>141</v>
      </c>
    </row>
    <row r="666" spans="1:27" s="4" customFormat="1" ht="51.95" customHeight="1">
      <c r="A666" s="5">
        <v>0</v>
      </c>
      <c r="B666" s="6" t="s">
        <v>4243</v>
      </c>
      <c r="C666" s="7">
        <v>1604</v>
      </c>
      <c r="D666" s="8" t="s">
        <v>4244</v>
      </c>
      <c r="E666" s="8" t="s">
        <v>4245</v>
      </c>
      <c r="F666" s="8" t="s">
        <v>4246</v>
      </c>
      <c r="G666" s="6" t="s">
        <v>83</v>
      </c>
      <c r="H666" s="6" t="s">
        <v>38</v>
      </c>
      <c r="I666" s="8" t="s">
        <v>164</v>
      </c>
      <c r="J666" s="9">
        <v>1</v>
      </c>
      <c r="K666" s="9">
        <v>348</v>
      </c>
      <c r="L666" s="9">
        <v>2024</v>
      </c>
      <c r="M666" s="8" t="s">
        <v>4247</v>
      </c>
      <c r="N666" s="8" t="s">
        <v>41</v>
      </c>
      <c r="O666" s="8" t="s">
        <v>54</v>
      </c>
      <c r="P666" s="6" t="s">
        <v>176</v>
      </c>
      <c r="Q666" s="8" t="s">
        <v>56</v>
      </c>
      <c r="R666" s="10" t="s">
        <v>4248</v>
      </c>
      <c r="S666" s="11" t="s">
        <v>4249</v>
      </c>
      <c r="T666" s="6"/>
      <c r="U666" s="28" t="str">
        <f>HYPERLINK("https://media.infra-m.ru/2100/2100991/cover/2100991.jpg", "Обложка")</f>
        <v>Обложка</v>
      </c>
      <c r="V666" s="28" t="str">
        <f>HYPERLINK("https://znanium.ru/catalog/product/1912985", "Ознакомиться")</f>
        <v>Ознакомиться</v>
      </c>
      <c r="W666" s="8" t="s">
        <v>4250</v>
      </c>
      <c r="X666" s="6"/>
      <c r="Y666" s="6"/>
      <c r="Z666" s="6"/>
      <c r="AA666" s="6" t="s">
        <v>2321</v>
      </c>
    </row>
    <row r="667" spans="1:27" s="4" customFormat="1" ht="51.95" customHeight="1">
      <c r="A667" s="5">
        <v>0</v>
      </c>
      <c r="B667" s="6" t="s">
        <v>4251</v>
      </c>
      <c r="C667" s="7">
        <v>1324.9</v>
      </c>
      <c r="D667" s="8" t="s">
        <v>4252</v>
      </c>
      <c r="E667" s="8" t="s">
        <v>4253</v>
      </c>
      <c r="F667" s="8" t="s">
        <v>4254</v>
      </c>
      <c r="G667" s="6" t="s">
        <v>123</v>
      </c>
      <c r="H667" s="6" t="s">
        <v>470</v>
      </c>
      <c r="I667" s="8"/>
      <c r="J667" s="9">
        <v>1</v>
      </c>
      <c r="K667" s="9">
        <v>368</v>
      </c>
      <c r="L667" s="9">
        <v>2021</v>
      </c>
      <c r="M667" s="8" t="s">
        <v>4255</v>
      </c>
      <c r="N667" s="8" t="s">
        <v>41</v>
      </c>
      <c r="O667" s="8" t="s">
        <v>54</v>
      </c>
      <c r="P667" s="6" t="s">
        <v>176</v>
      </c>
      <c r="Q667" s="8" t="s">
        <v>56</v>
      </c>
      <c r="R667" s="10" t="s">
        <v>4248</v>
      </c>
      <c r="S667" s="11" t="s">
        <v>4256</v>
      </c>
      <c r="T667" s="6"/>
      <c r="U667" s="28" t="str">
        <f>HYPERLINK("https://media.infra-m.ru/1177/1177557/cover/1177557.jpg", "Обложка")</f>
        <v>Обложка</v>
      </c>
      <c r="V667" s="28" t="str">
        <f>HYPERLINK("https://znanium.ru/catalog/product/1912985", "Ознакомиться")</f>
        <v>Ознакомиться</v>
      </c>
      <c r="W667" s="8" t="s">
        <v>4250</v>
      </c>
      <c r="X667" s="6"/>
      <c r="Y667" s="6"/>
      <c r="Z667" s="6"/>
      <c r="AA667" s="6" t="s">
        <v>290</v>
      </c>
    </row>
    <row r="668" spans="1:27" s="4" customFormat="1" ht="51.95" customHeight="1">
      <c r="A668" s="5">
        <v>0</v>
      </c>
      <c r="B668" s="6" t="s">
        <v>4257</v>
      </c>
      <c r="C668" s="13">
        <v>960</v>
      </c>
      <c r="D668" s="8" t="s">
        <v>4258</v>
      </c>
      <c r="E668" s="8" t="s">
        <v>4259</v>
      </c>
      <c r="F668" s="8" t="s">
        <v>4260</v>
      </c>
      <c r="G668" s="6" t="s">
        <v>83</v>
      </c>
      <c r="H668" s="6" t="s">
        <v>38</v>
      </c>
      <c r="I668" s="8" t="s">
        <v>884</v>
      </c>
      <c r="J668" s="9">
        <v>1</v>
      </c>
      <c r="K668" s="9">
        <v>205</v>
      </c>
      <c r="L668" s="9">
        <v>2023</v>
      </c>
      <c r="M668" s="8" t="s">
        <v>4261</v>
      </c>
      <c r="N668" s="8" t="s">
        <v>74</v>
      </c>
      <c r="O668" s="8" t="s">
        <v>109</v>
      </c>
      <c r="P668" s="6" t="s">
        <v>55</v>
      </c>
      <c r="Q668" s="8" t="s">
        <v>594</v>
      </c>
      <c r="R668" s="10" t="s">
        <v>4262</v>
      </c>
      <c r="S668" s="11" t="s">
        <v>4263</v>
      </c>
      <c r="T668" s="6"/>
      <c r="U668" s="28" t="str">
        <f>HYPERLINK("https://media.infra-m.ru/1985/1985783/cover/1985783.jpg", "Обложка")</f>
        <v>Обложка</v>
      </c>
      <c r="V668" s="28" t="str">
        <f>HYPERLINK("https://znanium.ru/catalog/product/1985783", "Ознакомиться")</f>
        <v>Ознакомиться</v>
      </c>
      <c r="W668" s="8" t="s">
        <v>4264</v>
      </c>
      <c r="X668" s="6"/>
      <c r="Y668" s="6"/>
      <c r="Z668" s="6"/>
      <c r="AA668" s="6" t="s">
        <v>2321</v>
      </c>
    </row>
    <row r="669" spans="1:27" s="4" customFormat="1" ht="51.95" customHeight="1">
      <c r="A669" s="5">
        <v>0</v>
      </c>
      <c r="B669" s="6" t="s">
        <v>4265</v>
      </c>
      <c r="C669" s="7">
        <v>1410</v>
      </c>
      <c r="D669" s="8" t="s">
        <v>4266</v>
      </c>
      <c r="E669" s="8" t="s">
        <v>4267</v>
      </c>
      <c r="F669" s="8" t="s">
        <v>1221</v>
      </c>
      <c r="G669" s="6" t="s">
        <v>83</v>
      </c>
      <c r="H669" s="6" t="s">
        <v>470</v>
      </c>
      <c r="I669" s="8"/>
      <c r="J669" s="9">
        <v>1</v>
      </c>
      <c r="K669" s="9">
        <v>414</v>
      </c>
      <c r="L669" s="9">
        <v>2020</v>
      </c>
      <c r="M669" s="8" t="s">
        <v>4268</v>
      </c>
      <c r="N669" s="8" t="s">
        <v>74</v>
      </c>
      <c r="O669" s="8" t="s">
        <v>109</v>
      </c>
      <c r="P669" s="6" t="s">
        <v>55</v>
      </c>
      <c r="Q669" s="8" t="s">
        <v>56</v>
      </c>
      <c r="R669" s="10" t="s">
        <v>4269</v>
      </c>
      <c r="S669" s="11"/>
      <c r="T669" s="6"/>
      <c r="U669" s="28" t="str">
        <f>HYPERLINK("https://media.infra-m.ru/1069/1069193/cover/1069193.jpg", "Обложка")</f>
        <v>Обложка</v>
      </c>
      <c r="V669" s="28" t="str">
        <f>HYPERLINK("https://znanium.ru/catalog/product/2118082", "Ознакомиться")</f>
        <v>Ознакомиться</v>
      </c>
      <c r="W669" s="8" t="s">
        <v>441</v>
      </c>
      <c r="X669" s="6"/>
      <c r="Y669" s="6"/>
      <c r="Z669" s="6"/>
      <c r="AA669" s="6" t="s">
        <v>59</v>
      </c>
    </row>
    <row r="670" spans="1:27" s="4" customFormat="1" ht="51.95" customHeight="1">
      <c r="A670" s="5">
        <v>0</v>
      </c>
      <c r="B670" s="6" t="s">
        <v>4270</v>
      </c>
      <c r="C670" s="13">
        <v>784.9</v>
      </c>
      <c r="D670" s="8" t="s">
        <v>4271</v>
      </c>
      <c r="E670" s="8" t="s">
        <v>4272</v>
      </c>
      <c r="F670" s="8" t="s">
        <v>2169</v>
      </c>
      <c r="G670" s="6" t="s">
        <v>123</v>
      </c>
      <c r="H670" s="6" t="s">
        <v>470</v>
      </c>
      <c r="I670" s="8"/>
      <c r="J670" s="9">
        <v>1</v>
      </c>
      <c r="K670" s="9">
        <v>268</v>
      </c>
      <c r="L670" s="9">
        <v>2017</v>
      </c>
      <c r="M670" s="8" t="s">
        <v>4273</v>
      </c>
      <c r="N670" s="8" t="s">
        <v>74</v>
      </c>
      <c r="O670" s="8" t="s">
        <v>109</v>
      </c>
      <c r="P670" s="6" t="s">
        <v>55</v>
      </c>
      <c r="Q670" s="8" t="s">
        <v>56</v>
      </c>
      <c r="R670" s="10" t="s">
        <v>3956</v>
      </c>
      <c r="S670" s="11" t="s">
        <v>4274</v>
      </c>
      <c r="T670" s="6"/>
      <c r="U670" s="28" t="str">
        <f>HYPERLINK("https://media.infra-m.ru/0923/0923340/cover/923340.jpg", "Обложка")</f>
        <v>Обложка</v>
      </c>
      <c r="V670" s="28" t="str">
        <f>HYPERLINK("https://znanium.ru/catalog/product/1913860", "Ознакомиться")</f>
        <v>Ознакомиться</v>
      </c>
      <c r="W670" s="8" t="s">
        <v>140</v>
      </c>
      <c r="X670" s="6"/>
      <c r="Y670" s="6"/>
      <c r="Z670" s="6"/>
      <c r="AA670" s="6" t="s">
        <v>47</v>
      </c>
    </row>
    <row r="671" spans="1:27" s="4" customFormat="1" ht="51.95" customHeight="1">
      <c r="A671" s="5">
        <v>0</v>
      </c>
      <c r="B671" s="6" t="s">
        <v>4275</v>
      </c>
      <c r="C671" s="7">
        <v>1220</v>
      </c>
      <c r="D671" s="8" t="s">
        <v>4276</v>
      </c>
      <c r="E671" s="8" t="s">
        <v>4277</v>
      </c>
      <c r="F671" s="8" t="s">
        <v>2169</v>
      </c>
      <c r="G671" s="6" t="s">
        <v>83</v>
      </c>
      <c r="H671" s="6" t="s">
        <v>470</v>
      </c>
      <c r="I671" s="8"/>
      <c r="J671" s="9">
        <v>1</v>
      </c>
      <c r="K671" s="9">
        <v>272</v>
      </c>
      <c r="L671" s="9">
        <v>2023</v>
      </c>
      <c r="M671" s="8" t="s">
        <v>4278</v>
      </c>
      <c r="N671" s="8" t="s">
        <v>74</v>
      </c>
      <c r="O671" s="8" t="s">
        <v>109</v>
      </c>
      <c r="P671" s="6" t="s">
        <v>55</v>
      </c>
      <c r="Q671" s="8" t="s">
        <v>56</v>
      </c>
      <c r="R671" s="10" t="s">
        <v>3956</v>
      </c>
      <c r="S671" s="11"/>
      <c r="T671" s="6"/>
      <c r="U671" s="28" t="str">
        <f>HYPERLINK("https://media.infra-m.ru/1913/1913860/cover/1913860.jpg", "Обложка")</f>
        <v>Обложка</v>
      </c>
      <c r="V671" s="28" t="str">
        <f>HYPERLINK("https://znanium.ru/catalog/product/1913860", "Ознакомиться")</f>
        <v>Ознакомиться</v>
      </c>
      <c r="W671" s="8" t="s">
        <v>140</v>
      </c>
      <c r="X671" s="6"/>
      <c r="Y671" s="6"/>
      <c r="Z671" s="6"/>
      <c r="AA671" s="6" t="s">
        <v>312</v>
      </c>
    </row>
    <row r="672" spans="1:27" s="4" customFormat="1" ht="51.95" customHeight="1">
      <c r="A672" s="5">
        <v>0</v>
      </c>
      <c r="B672" s="6" t="s">
        <v>4279</v>
      </c>
      <c r="C672" s="7">
        <v>1990</v>
      </c>
      <c r="D672" s="8" t="s">
        <v>4280</v>
      </c>
      <c r="E672" s="8" t="s">
        <v>4281</v>
      </c>
      <c r="F672" s="8" t="s">
        <v>4282</v>
      </c>
      <c r="G672" s="6" t="s">
        <v>123</v>
      </c>
      <c r="H672" s="6" t="s">
        <v>38</v>
      </c>
      <c r="I672" s="8" t="s">
        <v>884</v>
      </c>
      <c r="J672" s="9">
        <v>1</v>
      </c>
      <c r="K672" s="9">
        <v>424</v>
      </c>
      <c r="L672" s="9">
        <v>2024</v>
      </c>
      <c r="M672" s="8" t="s">
        <v>4283</v>
      </c>
      <c r="N672" s="8" t="s">
        <v>74</v>
      </c>
      <c r="O672" s="8" t="s">
        <v>109</v>
      </c>
      <c r="P672" s="6" t="s">
        <v>55</v>
      </c>
      <c r="Q672" s="8" t="s">
        <v>594</v>
      </c>
      <c r="R672" s="10" t="s">
        <v>4269</v>
      </c>
      <c r="S672" s="11" t="s">
        <v>4284</v>
      </c>
      <c r="T672" s="6"/>
      <c r="U672" s="28" t="str">
        <f>HYPERLINK("https://media.infra-m.ru/2118/2118082/cover/2118082.jpg", "Обложка")</f>
        <v>Обложка</v>
      </c>
      <c r="V672" s="28" t="str">
        <f>HYPERLINK("https://znanium.ru/catalog/product/2118082", "Ознакомиться")</f>
        <v>Ознакомиться</v>
      </c>
      <c r="W672" s="8" t="s">
        <v>441</v>
      </c>
      <c r="X672" s="6"/>
      <c r="Y672" s="6"/>
      <c r="Z672" s="6"/>
      <c r="AA672" s="6" t="s">
        <v>1006</v>
      </c>
    </row>
    <row r="673" spans="1:27" s="4" customFormat="1" ht="51.95" customHeight="1">
      <c r="A673" s="5">
        <v>0</v>
      </c>
      <c r="B673" s="6" t="s">
        <v>4285</v>
      </c>
      <c r="C673" s="7">
        <v>1020</v>
      </c>
      <c r="D673" s="8" t="s">
        <v>4286</v>
      </c>
      <c r="E673" s="8" t="s">
        <v>4287</v>
      </c>
      <c r="F673" s="8" t="s">
        <v>4288</v>
      </c>
      <c r="G673" s="6" t="s">
        <v>83</v>
      </c>
      <c r="H673" s="6" t="s">
        <v>38</v>
      </c>
      <c r="I673" s="8" t="s">
        <v>155</v>
      </c>
      <c r="J673" s="9">
        <v>1</v>
      </c>
      <c r="K673" s="9">
        <v>217</v>
      </c>
      <c r="L673" s="9">
        <v>2024</v>
      </c>
      <c r="M673" s="8" t="s">
        <v>4289</v>
      </c>
      <c r="N673" s="8" t="s">
        <v>74</v>
      </c>
      <c r="O673" s="8" t="s">
        <v>109</v>
      </c>
      <c r="P673" s="6" t="s">
        <v>55</v>
      </c>
      <c r="Q673" s="8" t="s">
        <v>56</v>
      </c>
      <c r="R673" s="10" t="s">
        <v>4290</v>
      </c>
      <c r="S673" s="11" t="s">
        <v>4291</v>
      </c>
      <c r="T673" s="6"/>
      <c r="U673" s="28" t="str">
        <f>HYPERLINK("https://media.infra-m.ru/2142/2142543/cover/2142543.jpg", "Обложка")</f>
        <v>Обложка</v>
      </c>
      <c r="V673" s="28" t="str">
        <f>HYPERLINK("https://znanium.ru/catalog/product/2142543", "Ознакомиться")</f>
        <v>Ознакомиться</v>
      </c>
      <c r="W673" s="8" t="s">
        <v>4292</v>
      </c>
      <c r="X673" s="6"/>
      <c r="Y673" s="6"/>
      <c r="Z673" s="6"/>
      <c r="AA673" s="6" t="s">
        <v>193</v>
      </c>
    </row>
    <row r="674" spans="1:27" s="4" customFormat="1" ht="51.95" customHeight="1">
      <c r="A674" s="5">
        <v>0</v>
      </c>
      <c r="B674" s="6" t="s">
        <v>4293</v>
      </c>
      <c r="C674" s="13">
        <v>914</v>
      </c>
      <c r="D674" s="8" t="s">
        <v>4294</v>
      </c>
      <c r="E674" s="8" t="s">
        <v>4295</v>
      </c>
      <c r="F674" s="8" t="s">
        <v>4296</v>
      </c>
      <c r="G674" s="6" t="s">
        <v>123</v>
      </c>
      <c r="H674" s="6" t="s">
        <v>1701</v>
      </c>
      <c r="I674" s="8" t="s">
        <v>155</v>
      </c>
      <c r="J674" s="9">
        <v>1</v>
      </c>
      <c r="K674" s="9">
        <v>192</v>
      </c>
      <c r="L674" s="9">
        <v>2023</v>
      </c>
      <c r="M674" s="8" t="s">
        <v>4297</v>
      </c>
      <c r="N674" s="8" t="s">
        <v>74</v>
      </c>
      <c r="O674" s="8" t="s">
        <v>109</v>
      </c>
      <c r="P674" s="6" t="s">
        <v>55</v>
      </c>
      <c r="Q674" s="8" t="s">
        <v>56</v>
      </c>
      <c r="R674" s="10" t="s">
        <v>4298</v>
      </c>
      <c r="S674" s="11" t="s">
        <v>4299</v>
      </c>
      <c r="T674" s="6"/>
      <c r="U674" s="28" t="str">
        <f>HYPERLINK("https://media.infra-m.ru/2061/2061198/cover/2061198.jpg", "Обложка")</f>
        <v>Обложка</v>
      </c>
      <c r="V674" s="28" t="str">
        <f>HYPERLINK("https://znanium.ru/catalog/product/1870556", "Ознакомиться")</f>
        <v>Ознакомиться</v>
      </c>
      <c r="W674" s="8" t="s">
        <v>2712</v>
      </c>
      <c r="X674" s="6"/>
      <c r="Y674" s="6"/>
      <c r="Z674" s="6"/>
      <c r="AA674" s="6" t="s">
        <v>2336</v>
      </c>
    </row>
    <row r="675" spans="1:27" s="4" customFormat="1" ht="44.1" customHeight="1">
      <c r="A675" s="5">
        <v>0</v>
      </c>
      <c r="B675" s="6" t="s">
        <v>4300</v>
      </c>
      <c r="C675" s="13">
        <v>940</v>
      </c>
      <c r="D675" s="8" t="s">
        <v>4301</v>
      </c>
      <c r="E675" s="8" t="s">
        <v>4302</v>
      </c>
      <c r="F675" s="8" t="s">
        <v>4303</v>
      </c>
      <c r="G675" s="6" t="s">
        <v>83</v>
      </c>
      <c r="H675" s="6" t="s">
        <v>317</v>
      </c>
      <c r="I675" s="8" t="s">
        <v>492</v>
      </c>
      <c r="J675" s="9">
        <v>1</v>
      </c>
      <c r="K675" s="9">
        <v>200</v>
      </c>
      <c r="L675" s="9">
        <v>2024</v>
      </c>
      <c r="M675" s="8" t="s">
        <v>4304</v>
      </c>
      <c r="N675" s="8" t="s">
        <v>74</v>
      </c>
      <c r="O675" s="8" t="s">
        <v>1559</v>
      </c>
      <c r="P675" s="6" t="s">
        <v>176</v>
      </c>
      <c r="Q675" s="8" t="s">
        <v>56</v>
      </c>
      <c r="R675" s="10" t="s">
        <v>4305</v>
      </c>
      <c r="S675" s="11"/>
      <c r="T675" s="6"/>
      <c r="U675" s="28" t="str">
        <f>HYPERLINK("https://media.infra-m.ru/2103/2103181/cover/2103181.jpg", "Обложка")</f>
        <v>Обложка</v>
      </c>
      <c r="V675" s="28" t="str">
        <f>HYPERLINK("https://znanium.ru/catalog/product/2103181", "Ознакомиться")</f>
        <v>Ознакомиться</v>
      </c>
      <c r="W675" s="8" t="s">
        <v>1841</v>
      </c>
      <c r="X675" s="6"/>
      <c r="Y675" s="6"/>
      <c r="Z675" s="6"/>
      <c r="AA675" s="6" t="s">
        <v>650</v>
      </c>
    </row>
    <row r="676" spans="1:27" s="4" customFormat="1" ht="51.95" customHeight="1">
      <c r="A676" s="5">
        <v>0</v>
      </c>
      <c r="B676" s="6" t="s">
        <v>4306</v>
      </c>
      <c r="C676" s="13">
        <v>880</v>
      </c>
      <c r="D676" s="8" t="s">
        <v>4307</v>
      </c>
      <c r="E676" s="8" t="s">
        <v>4308</v>
      </c>
      <c r="F676" s="8" t="s">
        <v>4309</v>
      </c>
      <c r="G676" s="6" t="s">
        <v>37</v>
      </c>
      <c r="H676" s="6" t="s">
        <v>52</v>
      </c>
      <c r="I676" s="8" t="s">
        <v>155</v>
      </c>
      <c r="J676" s="9">
        <v>1</v>
      </c>
      <c r="K676" s="9">
        <v>191</v>
      </c>
      <c r="L676" s="9">
        <v>2024</v>
      </c>
      <c r="M676" s="8" t="s">
        <v>4310</v>
      </c>
      <c r="N676" s="8" t="s">
        <v>74</v>
      </c>
      <c r="O676" s="8" t="s">
        <v>75</v>
      </c>
      <c r="P676" s="6" t="s">
        <v>55</v>
      </c>
      <c r="Q676" s="8" t="s">
        <v>56</v>
      </c>
      <c r="R676" s="10" t="s">
        <v>4311</v>
      </c>
      <c r="S676" s="11" t="s">
        <v>4312</v>
      </c>
      <c r="T676" s="6"/>
      <c r="U676" s="28" t="str">
        <f>HYPERLINK("https://media.infra-m.ru/1877/1877100/cover/1877100.jpg", "Обложка")</f>
        <v>Обложка</v>
      </c>
      <c r="V676" s="28" t="str">
        <f>HYPERLINK("https://znanium.ru/catalog/product/1877100", "Ознакомиться")</f>
        <v>Ознакомиться</v>
      </c>
      <c r="W676" s="8" t="s">
        <v>1028</v>
      </c>
      <c r="X676" s="6"/>
      <c r="Y676" s="6"/>
      <c r="Z676" s="6"/>
      <c r="AA676" s="6" t="s">
        <v>364</v>
      </c>
    </row>
    <row r="677" spans="1:27" s="4" customFormat="1" ht="42" customHeight="1">
      <c r="A677" s="5">
        <v>0</v>
      </c>
      <c r="B677" s="6" t="s">
        <v>4313</v>
      </c>
      <c r="C677" s="7">
        <v>1090</v>
      </c>
      <c r="D677" s="8" t="s">
        <v>4314</v>
      </c>
      <c r="E677" s="8" t="s">
        <v>4315</v>
      </c>
      <c r="F677" s="8" t="s">
        <v>4316</v>
      </c>
      <c r="G677" s="6" t="s">
        <v>83</v>
      </c>
      <c r="H677" s="6" t="s">
        <v>317</v>
      </c>
      <c r="I677" s="8" t="s">
        <v>492</v>
      </c>
      <c r="J677" s="9">
        <v>1</v>
      </c>
      <c r="K677" s="9">
        <v>232</v>
      </c>
      <c r="L677" s="9">
        <v>2024</v>
      </c>
      <c r="M677" s="8" t="s">
        <v>4317</v>
      </c>
      <c r="N677" s="8" t="s">
        <v>41</v>
      </c>
      <c r="O677" s="8" t="s">
        <v>42</v>
      </c>
      <c r="P677" s="6" t="s">
        <v>176</v>
      </c>
      <c r="Q677" s="8" t="s">
        <v>207</v>
      </c>
      <c r="R677" s="10" t="s">
        <v>4318</v>
      </c>
      <c r="S677" s="11"/>
      <c r="T677" s="6"/>
      <c r="U677" s="28" t="str">
        <f>HYPERLINK("https://media.infra-m.ru/2136/2136106/cover/2136106.jpg", "Обложка")</f>
        <v>Обложка</v>
      </c>
      <c r="V677" s="12"/>
      <c r="W677" s="8" t="s">
        <v>4319</v>
      </c>
      <c r="X677" s="6" t="s">
        <v>734</v>
      </c>
      <c r="Y677" s="6"/>
      <c r="Z677" s="6"/>
      <c r="AA677" s="6" t="s">
        <v>180</v>
      </c>
    </row>
    <row r="678" spans="1:27" s="4" customFormat="1" ht="42" customHeight="1">
      <c r="A678" s="5">
        <v>0</v>
      </c>
      <c r="B678" s="6" t="s">
        <v>4320</v>
      </c>
      <c r="C678" s="7">
        <v>1250</v>
      </c>
      <c r="D678" s="8" t="s">
        <v>4321</v>
      </c>
      <c r="E678" s="8" t="s">
        <v>4315</v>
      </c>
      <c r="F678" s="8" t="s">
        <v>4322</v>
      </c>
      <c r="G678" s="6" t="s">
        <v>83</v>
      </c>
      <c r="H678" s="6" t="s">
        <v>317</v>
      </c>
      <c r="I678" s="8" t="s">
        <v>155</v>
      </c>
      <c r="J678" s="9">
        <v>1</v>
      </c>
      <c r="K678" s="9">
        <v>154</v>
      </c>
      <c r="L678" s="9">
        <v>2024</v>
      </c>
      <c r="M678" s="8" t="s">
        <v>4323</v>
      </c>
      <c r="N678" s="8" t="s">
        <v>41</v>
      </c>
      <c r="O678" s="8" t="s">
        <v>42</v>
      </c>
      <c r="P678" s="6" t="s">
        <v>176</v>
      </c>
      <c r="Q678" s="8" t="s">
        <v>177</v>
      </c>
      <c r="R678" s="10" t="s">
        <v>4324</v>
      </c>
      <c r="S678" s="11"/>
      <c r="T678" s="6"/>
      <c r="U678" s="28" t="str">
        <f>HYPERLINK("https://media.infra-m.ru/2131/2131470/cover/2131470.jpg", "Обложка")</f>
        <v>Обложка</v>
      </c>
      <c r="V678" s="28" t="str">
        <f>HYPERLINK("https://znanium.ru/catalog/product/2123773", "Ознакомиться")</f>
        <v>Ознакомиться</v>
      </c>
      <c r="W678" s="8" t="s">
        <v>4319</v>
      </c>
      <c r="X678" s="6"/>
      <c r="Y678" s="6"/>
      <c r="Z678" s="6"/>
      <c r="AA678" s="6" t="s">
        <v>180</v>
      </c>
    </row>
    <row r="679" spans="1:27" s="4" customFormat="1" ht="42" customHeight="1">
      <c r="A679" s="5">
        <v>0</v>
      </c>
      <c r="B679" s="6" t="s">
        <v>4325</v>
      </c>
      <c r="C679" s="13">
        <v>960</v>
      </c>
      <c r="D679" s="8" t="s">
        <v>4326</v>
      </c>
      <c r="E679" s="8" t="s">
        <v>4315</v>
      </c>
      <c r="F679" s="8" t="s">
        <v>1142</v>
      </c>
      <c r="G679" s="6" t="s">
        <v>83</v>
      </c>
      <c r="H679" s="6" t="s">
        <v>38</v>
      </c>
      <c r="I679" s="8" t="s">
        <v>155</v>
      </c>
      <c r="J679" s="9">
        <v>1</v>
      </c>
      <c r="K679" s="9">
        <v>190</v>
      </c>
      <c r="L679" s="9">
        <v>2024</v>
      </c>
      <c r="M679" s="8" t="s">
        <v>4327</v>
      </c>
      <c r="N679" s="8" t="s">
        <v>41</v>
      </c>
      <c r="O679" s="8" t="s">
        <v>42</v>
      </c>
      <c r="P679" s="6" t="s">
        <v>55</v>
      </c>
      <c r="Q679" s="8" t="s">
        <v>177</v>
      </c>
      <c r="R679" s="10" t="s">
        <v>4324</v>
      </c>
      <c r="S679" s="11"/>
      <c r="T679" s="6"/>
      <c r="U679" s="28" t="str">
        <f>HYPERLINK("https://media.infra-m.ru/2148/2148627/cover/2148627.jpg", "Обложка")</f>
        <v>Обложка</v>
      </c>
      <c r="V679" s="28" t="str">
        <f>HYPERLINK("https://znanium.ru/catalog/product/2148627", "Ознакомиться")</f>
        <v>Ознакомиться</v>
      </c>
      <c r="W679" s="8" t="s">
        <v>1144</v>
      </c>
      <c r="X679" s="6"/>
      <c r="Y679" s="6"/>
      <c r="Z679" s="6"/>
      <c r="AA679" s="6" t="s">
        <v>180</v>
      </c>
    </row>
    <row r="680" spans="1:27" s="4" customFormat="1" ht="42" customHeight="1">
      <c r="A680" s="5">
        <v>0</v>
      </c>
      <c r="B680" s="6" t="s">
        <v>4328</v>
      </c>
      <c r="C680" s="7">
        <v>1617</v>
      </c>
      <c r="D680" s="8" t="s">
        <v>4329</v>
      </c>
      <c r="E680" s="8" t="s">
        <v>4330</v>
      </c>
      <c r="F680" s="8" t="s">
        <v>4331</v>
      </c>
      <c r="G680" s="6" t="s">
        <v>123</v>
      </c>
      <c r="H680" s="6" t="s">
        <v>317</v>
      </c>
      <c r="I680" s="8" t="s">
        <v>164</v>
      </c>
      <c r="J680" s="9">
        <v>1</v>
      </c>
      <c r="K680" s="9">
        <v>416</v>
      </c>
      <c r="L680" s="9">
        <v>2023</v>
      </c>
      <c r="M680" s="8" t="s">
        <v>4332</v>
      </c>
      <c r="N680" s="8" t="s">
        <v>74</v>
      </c>
      <c r="O680" s="8" t="s">
        <v>75</v>
      </c>
      <c r="P680" s="6" t="s">
        <v>55</v>
      </c>
      <c r="Q680" s="8" t="s">
        <v>56</v>
      </c>
      <c r="R680" s="10" t="s">
        <v>57</v>
      </c>
      <c r="S680" s="11"/>
      <c r="T680" s="6"/>
      <c r="U680" s="28" t="str">
        <f>HYPERLINK("https://media.infra-m.ru/2102/2102550/cover/2102550.jpg", "Обложка")</f>
        <v>Обложка</v>
      </c>
      <c r="V680" s="12"/>
      <c r="W680" s="8"/>
      <c r="X680" s="6"/>
      <c r="Y680" s="6"/>
      <c r="Z680" s="6"/>
      <c r="AA680" s="6" t="s">
        <v>47</v>
      </c>
    </row>
    <row r="681" spans="1:27" s="4" customFormat="1" ht="51.95" customHeight="1">
      <c r="A681" s="5">
        <v>0</v>
      </c>
      <c r="B681" s="6" t="s">
        <v>4333</v>
      </c>
      <c r="C681" s="13">
        <v>730</v>
      </c>
      <c r="D681" s="8" t="s">
        <v>4334</v>
      </c>
      <c r="E681" s="8" t="s">
        <v>4335</v>
      </c>
      <c r="F681" s="8" t="s">
        <v>4336</v>
      </c>
      <c r="G681" s="6" t="s">
        <v>123</v>
      </c>
      <c r="H681" s="6" t="s">
        <v>38</v>
      </c>
      <c r="I681" s="8" t="s">
        <v>164</v>
      </c>
      <c r="J681" s="9">
        <v>1</v>
      </c>
      <c r="K681" s="9">
        <v>152</v>
      </c>
      <c r="L681" s="9">
        <v>2023</v>
      </c>
      <c r="M681" s="8" t="s">
        <v>4337</v>
      </c>
      <c r="N681" s="8" t="s">
        <v>41</v>
      </c>
      <c r="O681" s="8" t="s">
        <v>65</v>
      </c>
      <c r="P681" s="6" t="s">
        <v>55</v>
      </c>
      <c r="Q681" s="8" t="s">
        <v>56</v>
      </c>
      <c r="R681" s="10" t="s">
        <v>4338</v>
      </c>
      <c r="S681" s="11" t="s">
        <v>4339</v>
      </c>
      <c r="T681" s="6"/>
      <c r="U681" s="28" t="str">
        <f>HYPERLINK("https://media.infra-m.ru/1894/1894892/cover/1894892.jpg", "Обложка")</f>
        <v>Обложка</v>
      </c>
      <c r="V681" s="28" t="str">
        <f>HYPERLINK("https://znanium.ru/catalog/product/1894892", "Ознакомиться")</f>
        <v>Ознакомиться</v>
      </c>
      <c r="W681" s="8" t="s">
        <v>4340</v>
      </c>
      <c r="X681" s="6"/>
      <c r="Y681" s="6"/>
      <c r="Z681" s="6"/>
      <c r="AA681" s="6" t="s">
        <v>111</v>
      </c>
    </row>
    <row r="682" spans="1:27" s="4" customFormat="1" ht="51.95" customHeight="1">
      <c r="A682" s="5">
        <v>0</v>
      </c>
      <c r="B682" s="6" t="s">
        <v>4341</v>
      </c>
      <c r="C682" s="7">
        <v>1724.9</v>
      </c>
      <c r="D682" s="8" t="s">
        <v>4342</v>
      </c>
      <c r="E682" s="8" t="s">
        <v>4343</v>
      </c>
      <c r="F682" s="8" t="s">
        <v>4344</v>
      </c>
      <c r="G682" s="6" t="s">
        <v>83</v>
      </c>
      <c r="H682" s="6" t="s">
        <v>38</v>
      </c>
      <c r="I682" s="8" t="s">
        <v>164</v>
      </c>
      <c r="J682" s="9">
        <v>1</v>
      </c>
      <c r="K682" s="9">
        <v>383</v>
      </c>
      <c r="L682" s="9">
        <v>2023</v>
      </c>
      <c r="M682" s="8" t="s">
        <v>4345</v>
      </c>
      <c r="N682" s="8" t="s">
        <v>41</v>
      </c>
      <c r="O682" s="8" t="s">
        <v>65</v>
      </c>
      <c r="P682" s="6" t="s">
        <v>55</v>
      </c>
      <c r="Q682" s="8" t="s">
        <v>56</v>
      </c>
      <c r="R682" s="10" t="s">
        <v>4346</v>
      </c>
      <c r="S682" s="11" t="s">
        <v>4347</v>
      </c>
      <c r="T682" s="6"/>
      <c r="U682" s="28" t="str">
        <f>HYPERLINK("https://media.infra-m.ru/1920/1920372/cover/1920372.jpg", "Обложка")</f>
        <v>Обложка</v>
      </c>
      <c r="V682" s="28" t="str">
        <f>HYPERLINK("https://znanium.ru/catalog/product/1920372", "Ознакомиться")</f>
        <v>Ознакомиться</v>
      </c>
      <c r="W682" s="8" t="s">
        <v>4348</v>
      </c>
      <c r="X682" s="6"/>
      <c r="Y682" s="6"/>
      <c r="Z682" s="6"/>
      <c r="AA682" s="6" t="s">
        <v>364</v>
      </c>
    </row>
    <row r="683" spans="1:27" s="4" customFormat="1" ht="51.95" customHeight="1">
      <c r="A683" s="5">
        <v>0</v>
      </c>
      <c r="B683" s="6" t="s">
        <v>4349</v>
      </c>
      <c r="C683" s="7">
        <v>1730</v>
      </c>
      <c r="D683" s="8" t="s">
        <v>4350</v>
      </c>
      <c r="E683" s="8" t="s">
        <v>4343</v>
      </c>
      <c r="F683" s="8" t="s">
        <v>4344</v>
      </c>
      <c r="G683" s="6" t="s">
        <v>83</v>
      </c>
      <c r="H683" s="6" t="s">
        <v>38</v>
      </c>
      <c r="I683" s="8" t="s">
        <v>205</v>
      </c>
      <c r="J683" s="9">
        <v>1</v>
      </c>
      <c r="K683" s="9">
        <v>383</v>
      </c>
      <c r="L683" s="9">
        <v>2023</v>
      </c>
      <c r="M683" s="8" t="s">
        <v>4351</v>
      </c>
      <c r="N683" s="8" t="s">
        <v>41</v>
      </c>
      <c r="O683" s="8" t="s">
        <v>65</v>
      </c>
      <c r="P683" s="6" t="s">
        <v>55</v>
      </c>
      <c r="Q683" s="8" t="s">
        <v>207</v>
      </c>
      <c r="R683" s="10" t="s">
        <v>4352</v>
      </c>
      <c r="S683" s="11" t="s">
        <v>4353</v>
      </c>
      <c r="T683" s="6"/>
      <c r="U683" s="28" t="str">
        <f>HYPERLINK("https://media.infra-m.ru/2063/2063328/cover/2063328.jpg", "Обложка")</f>
        <v>Обложка</v>
      </c>
      <c r="V683" s="28" t="str">
        <f>HYPERLINK("https://znanium.ru/catalog/product/1920369", "Ознакомиться")</f>
        <v>Ознакомиться</v>
      </c>
      <c r="W683" s="8" t="s">
        <v>4348</v>
      </c>
      <c r="X683" s="6"/>
      <c r="Y683" s="6"/>
      <c r="Z683" s="6" t="s">
        <v>235</v>
      </c>
      <c r="AA683" s="6" t="s">
        <v>111</v>
      </c>
    </row>
    <row r="684" spans="1:27" s="4" customFormat="1" ht="21.95" customHeight="1">
      <c r="A684" s="5">
        <v>0</v>
      </c>
      <c r="B684" s="6" t="s">
        <v>4354</v>
      </c>
      <c r="C684" s="13">
        <v>194.9</v>
      </c>
      <c r="D684" s="8" t="s">
        <v>4355</v>
      </c>
      <c r="E684" s="8" t="s">
        <v>4356</v>
      </c>
      <c r="F684" s="8" t="s">
        <v>1148</v>
      </c>
      <c r="G684" s="6" t="s">
        <v>37</v>
      </c>
      <c r="H684" s="6" t="s">
        <v>317</v>
      </c>
      <c r="I684" s="8" t="s">
        <v>3201</v>
      </c>
      <c r="J684" s="9">
        <v>1</v>
      </c>
      <c r="K684" s="9">
        <v>126</v>
      </c>
      <c r="L684" s="9">
        <v>2022</v>
      </c>
      <c r="M684" s="8" t="s">
        <v>4357</v>
      </c>
      <c r="N684" s="8" t="s">
        <v>41</v>
      </c>
      <c r="O684" s="8" t="s">
        <v>65</v>
      </c>
      <c r="P684" s="6" t="s">
        <v>3203</v>
      </c>
      <c r="Q684" s="8" t="s">
        <v>56</v>
      </c>
      <c r="R684" s="10" t="s">
        <v>2445</v>
      </c>
      <c r="S684" s="11"/>
      <c r="T684" s="6"/>
      <c r="U684" s="12"/>
      <c r="V684" s="12"/>
      <c r="W684" s="8"/>
      <c r="X684" s="6"/>
      <c r="Y684" s="6"/>
      <c r="Z684" s="6"/>
      <c r="AA684" s="6" t="s">
        <v>274</v>
      </c>
    </row>
    <row r="685" spans="1:27" s="4" customFormat="1" ht="51.95" customHeight="1">
      <c r="A685" s="5">
        <v>0</v>
      </c>
      <c r="B685" s="6" t="s">
        <v>4358</v>
      </c>
      <c r="C685" s="7">
        <v>1214.9000000000001</v>
      </c>
      <c r="D685" s="8" t="s">
        <v>4359</v>
      </c>
      <c r="E685" s="8" t="s">
        <v>4360</v>
      </c>
      <c r="F685" s="8" t="s">
        <v>2708</v>
      </c>
      <c r="G685" s="6" t="s">
        <v>83</v>
      </c>
      <c r="H685" s="6" t="s">
        <v>1701</v>
      </c>
      <c r="I685" s="8" t="s">
        <v>492</v>
      </c>
      <c r="J685" s="9">
        <v>1</v>
      </c>
      <c r="K685" s="9">
        <v>271</v>
      </c>
      <c r="L685" s="9">
        <v>2023</v>
      </c>
      <c r="M685" s="8" t="s">
        <v>4361</v>
      </c>
      <c r="N685" s="8" t="s">
        <v>41</v>
      </c>
      <c r="O685" s="8" t="s">
        <v>65</v>
      </c>
      <c r="P685" s="6" t="s">
        <v>176</v>
      </c>
      <c r="Q685" s="8" t="s">
        <v>207</v>
      </c>
      <c r="R685" s="10" t="s">
        <v>4362</v>
      </c>
      <c r="S685" s="11" t="s">
        <v>4363</v>
      </c>
      <c r="T685" s="6"/>
      <c r="U685" s="28" t="str">
        <f>HYPERLINK("https://media.infra-m.ru/1913/1913508/cover/1913508.jpg", "Обложка")</f>
        <v>Обложка</v>
      </c>
      <c r="V685" s="28" t="str">
        <f>HYPERLINK("https://znanium.ru/catalog/product/1239538", "Ознакомиться")</f>
        <v>Ознакомиться</v>
      </c>
      <c r="W685" s="8" t="s">
        <v>2712</v>
      </c>
      <c r="X685" s="6"/>
      <c r="Y685" s="6"/>
      <c r="Z685" s="6"/>
      <c r="AA685" s="6" t="s">
        <v>861</v>
      </c>
    </row>
    <row r="686" spans="1:27" s="4" customFormat="1" ht="51.95" customHeight="1">
      <c r="A686" s="5">
        <v>0</v>
      </c>
      <c r="B686" s="6" t="s">
        <v>4364</v>
      </c>
      <c r="C686" s="7">
        <v>1034</v>
      </c>
      <c r="D686" s="8" t="s">
        <v>4365</v>
      </c>
      <c r="E686" s="8" t="s">
        <v>4360</v>
      </c>
      <c r="F686" s="8" t="s">
        <v>4366</v>
      </c>
      <c r="G686" s="6" t="s">
        <v>123</v>
      </c>
      <c r="H686" s="6" t="s">
        <v>52</v>
      </c>
      <c r="I686" s="8"/>
      <c r="J686" s="9">
        <v>1</v>
      </c>
      <c r="K686" s="9">
        <v>224</v>
      </c>
      <c r="L686" s="9">
        <v>2024</v>
      </c>
      <c r="M686" s="8" t="s">
        <v>4367</v>
      </c>
      <c r="N686" s="8" t="s">
        <v>41</v>
      </c>
      <c r="O686" s="8" t="s">
        <v>65</v>
      </c>
      <c r="P686" s="6" t="s">
        <v>55</v>
      </c>
      <c r="Q686" s="8" t="s">
        <v>207</v>
      </c>
      <c r="R686" s="10" t="s">
        <v>4368</v>
      </c>
      <c r="S686" s="11" t="s">
        <v>4369</v>
      </c>
      <c r="T686" s="6"/>
      <c r="U686" s="28" t="str">
        <f>HYPERLINK("https://media.infra-m.ru/2053/2053240/cover/2053240.jpg", "Обложка")</f>
        <v>Обложка</v>
      </c>
      <c r="V686" s="28" t="str">
        <f>HYPERLINK("https://znanium.ru/catalog/product/1819050", "Ознакомиться")</f>
        <v>Ознакомиться</v>
      </c>
      <c r="W686" s="8" t="s">
        <v>210</v>
      </c>
      <c r="X686" s="6"/>
      <c r="Y686" s="6"/>
      <c r="Z686" s="6"/>
      <c r="AA686" s="6" t="s">
        <v>861</v>
      </c>
    </row>
    <row r="687" spans="1:27" s="4" customFormat="1" ht="51.95" customHeight="1">
      <c r="A687" s="5">
        <v>0</v>
      </c>
      <c r="B687" s="6" t="s">
        <v>4370</v>
      </c>
      <c r="C687" s="7">
        <v>1164</v>
      </c>
      <c r="D687" s="8" t="s">
        <v>4371</v>
      </c>
      <c r="E687" s="8" t="s">
        <v>4372</v>
      </c>
      <c r="F687" s="8" t="s">
        <v>4373</v>
      </c>
      <c r="G687" s="6" t="s">
        <v>123</v>
      </c>
      <c r="H687" s="6" t="s">
        <v>52</v>
      </c>
      <c r="I687" s="8" t="s">
        <v>492</v>
      </c>
      <c r="J687" s="9">
        <v>1</v>
      </c>
      <c r="K687" s="9">
        <v>252</v>
      </c>
      <c r="L687" s="9">
        <v>2023</v>
      </c>
      <c r="M687" s="8" t="s">
        <v>4374</v>
      </c>
      <c r="N687" s="8" t="s">
        <v>41</v>
      </c>
      <c r="O687" s="8" t="s">
        <v>65</v>
      </c>
      <c r="P687" s="6" t="s">
        <v>55</v>
      </c>
      <c r="Q687" s="8" t="s">
        <v>207</v>
      </c>
      <c r="R687" s="10" t="s">
        <v>4375</v>
      </c>
      <c r="S687" s="11" t="s">
        <v>1463</v>
      </c>
      <c r="T687" s="6"/>
      <c r="U687" s="28" t="str">
        <f>HYPERLINK("https://media.infra-m.ru/1913/1913512/cover/1913512.jpg", "Обложка")</f>
        <v>Обложка</v>
      </c>
      <c r="V687" s="28" t="str">
        <f>HYPERLINK("https://znanium.ru/catalog/product/1001520", "Ознакомиться")</f>
        <v>Ознакомиться</v>
      </c>
      <c r="W687" s="8" t="s">
        <v>210</v>
      </c>
      <c r="X687" s="6"/>
      <c r="Y687" s="6"/>
      <c r="Z687" s="6"/>
      <c r="AA687" s="6" t="s">
        <v>2336</v>
      </c>
    </row>
    <row r="688" spans="1:27" s="4" customFormat="1" ht="51.95" customHeight="1">
      <c r="A688" s="5">
        <v>0</v>
      </c>
      <c r="B688" s="6" t="s">
        <v>4376</v>
      </c>
      <c r="C688" s="13">
        <v>964</v>
      </c>
      <c r="D688" s="8" t="s">
        <v>4377</v>
      </c>
      <c r="E688" s="8" t="s">
        <v>4360</v>
      </c>
      <c r="F688" s="8" t="s">
        <v>4378</v>
      </c>
      <c r="G688" s="6" t="s">
        <v>83</v>
      </c>
      <c r="H688" s="6" t="s">
        <v>38</v>
      </c>
      <c r="I688" s="8" t="s">
        <v>205</v>
      </c>
      <c r="J688" s="9">
        <v>1</v>
      </c>
      <c r="K688" s="9">
        <v>204</v>
      </c>
      <c r="L688" s="9">
        <v>2024</v>
      </c>
      <c r="M688" s="8" t="s">
        <v>4379</v>
      </c>
      <c r="N688" s="8" t="s">
        <v>41</v>
      </c>
      <c r="O688" s="8" t="s">
        <v>65</v>
      </c>
      <c r="P688" s="6" t="s">
        <v>55</v>
      </c>
      <c r="Q688" s="8" t="s">
        <v>207</v>
      </c>
      <c r="R688" s="10" t="s">
        <v>4362</v>
      </c>
      <c r="S688" s="11" t="s">
        <v>4380</v>
      </c>
      <c r="T688" s="6"/>
      <c r="U688" s="28" t="str">
        <f>HYPERLINK("https://media.infra-m.ru/2131/2131751/cover/2131751.jpg", "Обложка")</f>
        <v>Обложка</v>
      </c>
      <c r="V688" s="28" t="str">
        <f>HYPERLINK("https://znanium.ru/catalog/product/1032374", "Ознакомиться")</f>
        <v>Ознакомиться</v>
      </c>
      <c r="W688" s="8" t="s">
        <v>1841</v>
      </c>
      <c r="X688" s="6"/>
      <c r="Y688" s="6"/>
      <c r="Z688" s="6"/>
      <c r="AA688" s="6" t="s">
        <v>169</v>
      </c>
    </row>
    <row r="689" spans="1:27" s="4" customFormat="1" ht="51.95" customHeight="1">
      <c r="A689" s="5">
        <v>0</v>
      </c>
      <c r="B689" s="6" t="s">
        <v>4381</v>
      </c>
      <c r="C689" s="7">
        <v>2500</v>
      </c>
      <c r="D689" s="8" t="s">
        <v>4382</v>
      </c>
      <c r="E689" s="8" t="s">
        <v>4383</v>
      </c>
      <c r="F689" s="8" t="s">
        <v>4384</v>
      </c>
      <c r="G689" s="6" t="s">
        <v>123</v>
      </c>
      <c r="H689" s="6" t="s">
        <v>38</v>
      </c>
      <c r="I689" s="8" t="s">
        <v>174</v>
      </c>
      <c r="J689" s="9">
        <v>1</v>
      </c>
      <c r="K689" s="9">
        <v>533</v>
      </c>
      <c r="L689" s="9">
        <v>2024</v>
      </c>
      <c r="M689" s="8" t="s">
        <v>4385</v>
      </c>
      <c r="N689" s="8" t="s">
        <v>74</v>
      </c>
      <c r="O689" s="8" t="s">
        <v>75</v>
      </c>
      <c r="P689" s="6" t="s">
        <v>55</v>
      </c>
      <c r="Q689" s="8" t="s">
        <v>56</v>
      </c>
      <c r="R689" s="10" t="s">
        <v>4386</v>
      </c>
      <c r="S689" s="11"/>
      <c r="T689" s="6"/>
      <c r="U689" s="28" t="str">
        <f>HYPERLINK("https://media.infra-m.ru/2138/2138101/cover/2138101.jpg", "Обложка")</f>
        <v>Обложка</v>
      </c>
      <c r="V689" s="28" t="str">
        <f>HYPERLINK("https://znanium.ru/catalog/product/2138101", "Ознакомиться")</f>
        <v>Ознакомиться</v>
      </c>
      <c r="W689" s="8" t="s">
        <v>1028</v>
      </c>
      <c r="X689" s="6" t="s">
        <v>1242</v>
      </c>
      <c r="Y689" s="6"/>
      <c r="Z689" s="6"/>
      <c r="AA689" s="6" t="s">
        <v>180</v>
      </c>
    </row>
    <row r="690" spans="1:27" s="4" customFormat="1" ht="51.95" customHeight="1">
      <c r="A690" s="5">
        <v>0</v>
      </c>
      <c r="B690" s="6" t="s">
        <v>4387</v>
      </c>
      <c r="C690" s="13">
        <v>744</v>
      </c>
      <c r="D690" s="8" t="s">
        <v>4388</v>
      </c>
      <c r="E690" s="8" t="s">
        <v>4389</v>
      </c>
      <c r="F690" s="8" t="s">
        <v>4390</v>
      </c>
      <c r="G690" s="6" t="s">
        <v>37</v>
      </c>
      <c r="H690" s="6" t="s">
        <v>38</v>
      </c>
      <c r="I690" s="8" t="s">
        <v>155</v>
      </c>
      <c r="J690" s="9">
        <v>1</v>
      </c>
      <c r="K690" s="9">
        <v>159</v>
      </c>
      <c r="L690" s="9">
        <v>2022</v>
      </c>
      <c r="M690" s="8" t="s">
        <v>4391</v>
      </c>
      <c r="N690" s="8" t="s">
        <v>74</v>
      </c>
      <c r="O690" s="8" t="s">
        <v>93</v>
      </c>
      <c r="P690" s="6" t="s">
        <v>55</v>
      </c>
      <c r="Q690" s="8" t="s">
        <v>56</v>
      </c>
      <c r="R690" s="10" t="s">
        <v>4392</v>
      </c>
      <c r="S690" s="11" t="s">
        <v>4393</v>
      </c>
      <c r="T690" s="6"/>
      <c r="U690" s="28" t="str">
        <f>HYPERLINK("https://media.infra-m.ru/2113/2113815/cover/2113815.jpg", "Обложка")</f>
        <v>Обложка</v>
      </c>
      <c r="V690" s="28" t="str">
        <f>HYPERLINK("https://znanium.ru/catalog/product/2113812", "Ознакомиться")</f>
        <v>Ознакомиться</v>
      </c>
      <c r="W690" s="8" t="s">
        <v>2765</v>
      </c>
      <c r="X690" s="6"/>
      <c r="Y690" s="6"/>
      <c r="Z690" s="6"/>
      <c r="AA690" s="6" t="s">
        <v>59</v>
      </c>
    </row>
    <row r="691" spans="1:27" s="4" customFormat="1" ht="51.95" customHeight="1">
      <c r="A691" s="5">
        <v>0</v>
      </c>
      <c r="B691" s="6" t="s">
        <v>4394</v>
      </c>
      <c r="C691" s="7">
        <v>2160</v>
      </c>
      <c r="D691" s="8" t="s">
        <v>4395</v>
      </c>
      <c r="E691" s="8" t="s">
        <v>4396</v>
      </c>
      <c r="F691" s="8" t="s">
        <v>4397</v>
      </c>
      <c r="G691" s="6" t="s">
        <v>83</v>
      </c>
      <c r="H691" s="6" t="s">
        <v>1701</v>
      </c>
      <c r="I691" s="8" t="s">
        <v>205</v>
      </c>
      <c r="J691" s="9">
        <v>1</v>
      </c>
      <c r="K691" s="9">
        <v>480</v>
      </c>
      <c r="L691" s="9">
        <v>2023</v>
      </c>
      <c r="M691" s="8" t="s">
        <v>4398</v>
      </c>
      <c r="N691" s="8" t="s">
        <v>74</v>
      </c>
      <c r="O691" s="8" t="s">
        <v>93</v>
      </c>
      <c r="P691" s="6" t="s">
        <v>176</v>
      </c>
      <c r="Q691" s="8" t="s">
        <v>207</v>
      </c>
      <c r="R691" s="10" t="s">
        <v>4399</v>
      </c>
      <c r="S691" s="11" t="s">
        <v>4363</v>
      </c>
      <c r="T691" s="6"/>
      <c r="U691" s="28" t="str">
        <f>HYPERLINK("https://media.infra-m.ru/1933/1933140/cover/1933140.jpg", "Обложка")</f>
        <v>Обложка</v>
      </c>
      <c r="V691" s="28" t="str">
        <f>HYPERLINK("https://znanium.ru/catalog/product/1933140", "Ознакомиться")</f>
        <v>Ознакомиться</v>
      </c>
      <c r="W691" s="8" t="s">
        <v>2740</v>
      </c>
      <c r="X691" s="6"/>
      <c r="Y691" s="6" t="s">
        <v>30</v>
      </c>
      <c r="Z691" s="6"/>
      <c r="AA691" s="6" t="s">
        <v>4400</v>
      </c>
    </row>
    <row r="692" spans="1:27" s="4" customFormat="1" ht="51.95" customHeight="1">
      <c r="A692" s="5">
        <v>0</v>
      </c>
      <c r="B692" s="6" t="s">
        <v>4401</v>
      </c>
      <c r="C692" s="7">
        <v>1444</v>
      </c>
      <c r="D692" s="8" t="s">
        <v>4402</v>
      </c>
      <c r="E692" s="8" t="s">
        <v>4396</v>
      </c>
      <c r="F692" s="8" t="s">
        <v>4403</v>
      </c>
      <c r="G692" s="6" t="s">
        <v>123</v>
      </c>
      <c r="H692" s="6" t="s">
        <v>38</v>
      </c>
      <c r="I692" s="8" t="s">
        <v>205</v>
      </c>
      <c r="J692" s="9">
        <v>1</v>
      </c>
      <c r="K692" s="9">
        <v>307</v>
      </c>
      <c r="L692" s="9">
        <v>2024</v>
      </c>
      <c r="M692" s="8" t="s">
        <v>4404</v>
      </c>
      <c r="N692" s="8" t="s">
        <v>74</v>
      </c>
      <c r="O692" s="8" t="s">
        <v>93</v>
      </c>
      <c r="P692" s="6" t="s">
        <v>176</v>
      </c>
      <c r="Q692" s="8" t="s">
        <v>207</v>
      </c>
      <c r="R692" s="10" t="s">
        <v>4405</v>
      </c>
      <c r="S692" s="11" t="s">
        <v>4406</v>
      </c>
      <c r="T692" s="6"/>
      <c r="U692" s="28" t="str">
        <f>HYPERLINK("https://media.infra-m.ru/2150/2150739/cover/2150739.jpg", "Обложка")</f>
        <v>Обложка</v>
      </c>
      <c r="V692" s="28" t="str">
        <f>HYPERLINK("https://znanium.ru/catalog/product/1913196", "Ознакомиться")</f>
        <v>Ознакомиться</v>
      </c>
      <c r="W692" s="8" t="s">
        <v>998</v>
      </c>
      <c r="X692" s="6"/>
      <c r="Y692" s="6"/>
      <c r="Z692" s="6"/>
      <c r="AA692" s="6" t="s">
        <v>193</v>
      </c>
    </row>
    <row r="693" spans="1:27" s="4" customFormat="1" ht="51.95" customHeight="1">
      <c r="A693" s="5">
        <v>0</v>
      </c>
      <c r="B693" s="6" t="s">
        <v>4407</v>
      </c>
      <c r="C693" s="13">
        <v>154.9</v>
      </c>
      <c r="D693" s="8" t="s">
        <v>4408</v>
      </c>
      <c r="E693" s="8" t="s">
        <v>4396</v>
      </c>
      <c r="F693" s="8" t="s">
        <v>2270</v>
      </c>
      <c r="G693" s="6" t="s">
        <v>37</v>
      </c>
      <c r="H693" s="6" t="s">
        <v>317</v>
      </c>
      <c r="I693" s="8"/>
      <c r="J693" s="9">
        <v>48</v>
      </c>
      <c r="K693" s="9">
        <v>90</v>
      </c>
      <c r="L693" s="9">
        <v>2018</v>
      </c>
      <c r="M693" s="8" t="s">
        <v>4409</v>
      </c>
      <c r="N693" s="8" t="s">
        <v>74</v>
      </c>
      <c r="O693" s="8" t="s">
        <v>93</v>
      </c>
      <c r="P693" s="6" t="s">
        <v>55</v>
      </c>
      <c r="Q693" s="8" t="s">
        <v>177</v>
      </c>
      <c r="R693" s="10" t="s">
        <v>4410</v>
      </c>
      <c r="S693" s="11" t="s">
        <v>4411</v>
      </c>
      <c r="T693" s="6"/>
      <c r="U693" s="28" t="str">
        <f>HYPERLINK("https://media.infra-m.ru/0914/0914655/cover/914655.jpg", "Обложка")</f>
        <v>Обложка</v>
      </c>
      <c r="V693" s="28" t="str">
        <f>HYPERLINK("https://znanium.ru/catalog/product/914655", "Ознакомиться")</f>
        <v>Ознакомиться</v>
      </c>
      <c r="W693" s="8" t="s">
        <v>2274</v>
      </c>
      <c r="X693" s="6"/>
      <c r="Y693" s="6" t="s">
        <v>30</v>
      </c>
      <c r="Z693" s="6"/>
      <c r="AA693" s="6" t="s">
        <v>2895</v>
      </c>
    </row>
    <row r="694" spans="1:27" s="4" customFormat="1" ht="51.95" customHeight="1">
      <c r="A694" s="5">
        <v>0</v>
      </c>
      <c r="B694" s="6" t="s">
        <v>4412</v>
      </c>
      <c r="C694" s="7">
        <v>1010</v>
      </c>
      <c r="D694" s="8" t="s">
        <v>4413</v>
      </c>
      <c r="E694" s="8" t="s">
        <v>4396</v>
      </c>
      <c r="F694" s="8" t="s">
        <v>4414</v>
      </c>
      <c r="G694" s="6" t="s">
        <v>83</v>
      </c>
      <c r="H694" s="6" t="s">
        <v>52</v>
      </c>
      <c r="I694" s="8" t="s">
        <v>205</v>
      </c>
      <c r="J694" s="9">
        <v>1</v>
      </c>
      <c r="K694" s="9">
        <v>266</v>
      </c>
      <c r="L694" s="9">
        <v>2022</v>
      </c>
      <c r="M694" s="8" t="s">
        <v>4415</v>
      </c>
      <c r="N694" s="8" t="s">
        <v>74</v>
      </c>
      <c r="O694" s="8" t="s">
        <v>93</v>
      </c>
      <c r="P694" s="6" t="s">
        <v>1469</v>
      </c>
      <c r="Q694" s="8" t="s">
        <v>207</v>
      </c>
      <c r="R694" s="10" t="s">
        <v>4416</v>
      </c>
      <c r="S694" s="11" t="s">
        <v>4417</v>
      </c>
      <c r="T694" s="6"/>
      <c r="U694" s="28" t="str">
        <f>HYPERLINK("https://media.infra-m.ru/1850/1850115/cover/1850115.jpg", "Обложка")</f>
        <v>Обложка</v>
      </c>
      <c r="V694" s="28" t="str">
        <f>HYPERLINK("https://znanium.ru/catalog/product/1850115", "Ознакомиться")</f>
        <v>Ознакомиться</v>
      </c>
      <c r="W694" s="8" t="s">
        <v>4418</v>
      </c>
      <c r="X694" s="6"/>
      <c r="Y694" s="6"/>
      <c r="Z694" s="6"/>
      <c r="AA694" s="6" t="s">
        <v>650</v>
      </c>
    </row>
    <row r="695" spans="1:27" s="4" customFormat="1" ht="51.95" customHeight="1">
      <c r="A695" s="5">
        <v>0</v>
      </c>
      <c r="B695" s="6" t="s">
        <v>4419</v>
      </c>
      <c r="C695" s="13">
        <v>690</v>
      </c>
      <c r="D695" s="8" t="s">
        <v>4420</v>
      </c>
      <c r="E695" s="8" t="s">
        <v>4396</v>
      </c>
      <c r="F695" s="8" t="s">
        <v>1527</v>
      </c>
      <c r="G695" s="6" t="s">
        <v>83</v>
      </c>
      <c r="H695" s="6" t="s">
        <v>38</v>
      </c>
      <c r="I695" s="8" t="s">
        <v>205</v>
      </c>
      <c r="J695" s="9">
        <v>1</v>
      </c>
      <c r="K695" s="9">
        <v>147</v>
      </c>
      <c r="L695" s="9">
        <v>2023</v>
      </c>
      <c r="M695" s="8" t="s">
        <v>4421</v>
      </c>
      <c r="N695" s="8" t="s">
        <v>74</v>
      </c>
      <c r="O695" s="8" t="s">
        <v>93</v>
      </c>
      <c r="P695" s="6" t="s">
        <v>55</v>
      </c>
      <c r="Q695" s="8" t="s">
        <v>207</v>
      </c>
      <c r="R695" s="10" t="s">
        <v>4422</v>
      </c>
      <c r="S695" s="11" t="s">
        <v>4423</v>
      </c>
      <c r="T695" s="6"/>
      <c r="U695" s="28" t="str">
        <f>HYPERLINK("https://media.infra-m.ru/1926/1926340/cover/1926340.jpg", "Обложка")</f>
        <v>Обложка</v>
      </c>
      <c r="V695" s="28" t="str">
        <f>HYPERLINK("https://znanium.ru/catalog/product/1926340", "Ознакомиться")</f>
        <v>Ознакомиться</v>
      </c>
      <c r="W695" s="8" t="s">
        <v>1530</v>
      </c>
      <c r="X695" s="6"/>
      <c r="Y695" s="6"/>
      <c r="Z695" s="6" t="s">
        <v>235</v>
      </c>
      <c r="AA695" s="6" t="s">
        <v>78</v>
      </c>
    </row>
    <row r="696" spans="1:27" s="4" customFormat="1" ht="51.95" customHeight="1">
      <c r="A696" s="5">
        <v>0</v>
      </c>
      <c r="B696" s="6" t="s">
        <v>4424</v>
      </c>
      <c r="C696" s="7">
        <v>1330</v>
      </c>
      <c r="D696" s="8" t="s">
        <v>4425</v>
      </c>
      <c r="E696" s="8" t="s">
        <v>4426</v>
      </c>
      <c r="F696" s="8" t="s">
        <v>4427</v>
      </c>
      <c r="G696" s="6" t="s">
        <v>83</v>
      </c>
      <c r="H696" s="6" t="s">
        <v>52</v>
      </c>
      <c r="I696" s="8" t="s">
        <v>205</v>
      </c>
      <c r="J696" s="9">
        <v>1</v>
      </c>
      <c r="K696" s="9">
        <v>288</v>
      </c>
      <c r="L696" s="9">
        <v>2024</v>
      </c>
      <c r="M696" s="8" t="s">
        <v>4428</v>
      </c>
      <c r="N696" s="8" t="s">
        <v>74</v>
      </c>
      <c r="O696" s="8" t="s">
        <v>93</v>
      </c>
      <c r="P696" s="6" t="s">
        <v>55</v>
      </c>
      <c r="Q696" s="8" t="s">
        <v>207</v>
      </c>
      <c r="R696" s="10" t="s">
        <v>4429</v>
      </c>
      <c r="S696" s="11" t="s">
        <v>4430</v>
      </c>
      <c r="T696" s="6"/>
      <c r="U696" s="28" t="str">
        <f>HYPERLINK("https://media.infra-m.ru/2084/2084133/cover/2084133.jpg", "Обложка")</f>
        <v>Обложка</v>
      </c>
      <c r="V696" s="28" t="str">
        <f>HYPERLINK("https://znanium.ru/catalog/product/2084133", "Ознакомиться")</f>
        <v>Ознакомиться</v>
      </c>
      <c r="W696" s="8" t="s">
        <v>210</v>
      </c>
      <c r="X696" s="6"/>
      <c r="Y696" s="6" t="s">
        <v>30</v>
      </c>
      <c r="Z696" s="6"/>
      <c r="AA696" s="6" t="s">
        <v>211</v>
      </c>
    </row>
    <row r="697" spans="1:27" s="4" customFormat="1" ht="51.95" customHeight="1">
      <c r="A697" s="5">
        <v>0</v>
      </c>
      <c r="B697" s="6" t="s">
        <v>4431</v>
      </c>
      <c r="C697" s="7">
        <v>1324</v>
      </c>
      <c r="D697" s="8" t="s">
        <v>4432</v>
      </c>
      <c r="E697" s="8" t="s">
        <v>4433</v>
      </c>
      <c r="F697" s="8" t="s">
        <v>4434</v>
      </c>
      <c r="G697" s="6" t="s">
        <v>83</v>
      </c>
      <c r="H697" s="6" t="s">
        <v>38</v>
      </c>
      <c r="I697" s="8" t="s">
        <v>205</v>
      </c>
      <c r="J697" s="9">
        <v>1</v>
      </c>
      <c r="K697" s="9">
        <v>269</v>
      </c>
      <c r="L697" s="9">
        <v>2024</v>
      </c>
      <c r="M697" s="8" t="s">
        <v>4435</v>
      </c>
      <c r="N697" s="8" t="s">
        <v>74</v>
      </c>
      <c r="O697" s="8" t="s">
        <v>394</v>
      </c>
      <c r="P697" s="6" t="s">
        <v>55</v>
      </c>
      <c r="Q697" s="8" t="s">
        <v>207</v>
      </c>
      <c r="R697" s="10" t="s">
        <v>4436</v>
      </c>
      <c r="S697" s="11" t="s">
        <v>4437</v>
      </c>
      <c r="T697" s="6"/>
      <c r="U697" s="28" t="str">
        <f>HYPERLINK("https://media.infra-m.ru/2147/2147907/cover/2147907.jpg", "Обложка")</f>
        <v>Обложка</v>
      </c>
      <c r="V697" s="28" t="str">
        <f>HYPERLINK("https://znanium.ru/catalog/product/2106268", "Ознакомиться")</f>
        <v>Ознакомиться</v>
      </c>
      <c r="W697" s="8" t="s">
        <v>4438</v>
      </c>
      <c r="X697" s="6"/>
      <c r="Y697" s="6"/>
      <c r="Z697" s="6"/>
      <c r="AA697" s="6" t="s">
        <v>111</v>
      </c>
    </row>
    <row r="698" spans="1:27" s="4" customFormat="1" ht="51.95" customHeight="1">
      <c r="A698" s="5">
        <v>0</v>
      </c>
      <c r="B698" s="6" t="s">
        <v>4439</v>
      </c>
      <c r="C698" s="7">
        <v>1400</v>
      </c>
      <c r="D698" s="8" t="s">
        <v>4440</v>
      </c>
      <c r="E698" s="8" t="s">
        <v>4441</v>
      </c>
      <c r="F698" s="8" t="s">
        <v>4442</v>
      </c>
      <c r="G698" s="6" t="s">
        <v>83</v>
      </c>
      <c r="H698" s="6" t="s">
        <v>38</v>
      </c>
      <c r="I698" s="8" t="s">
        <v>155</v>
      </c>
      <c r="J698" s="9">
        <v>1</v>
      </c>
      <c r="K698" s="9">
        <v>304</v>
      </c>
      <c r="L698" s="9">
        <v>2024</v>
      </c>
      <c r="M698" s="8" t="s">
        <v>4443</v>
      </c>
      <c r="N698" s="8" t="s">
        <v>74</v>
      </c>
      <c r="O698" s="8" t="s">
        <v>394</v>
      </c>
      <c r="P698" s="6" t="s">
        <v>55</v>
      </c>
      <c r="Q698" s="8" t="s">
        <v>177</v>
      </c>
      <c r="R698" s="10" t="s">
        <v>4444</v>
      </c>
      <c r="S698" s="11" t="s">
        <v>4445</v>
      </c>
      <c r="T698" s="6"/>
      <c r="U698" s="28" t="str">
        <f>HYPERLINK("https://media.infra-m.ru/2080/2080622/cover/2080622.jpg", "Обложка")</f>
        <v>Обложка</v>
      </c>
      <c r="V698" s="28" t="str">
        <f>HYPERLINK("https://znanium.ru/catalog/product/2080622", "Ознакомиться")</f>
        <v>Ознакомиться</v>
      </c>
      <c r="W698" s="8" t="s">
        <v>474</v>
      </c>
      <c r="X698" s="6"/>
      <c r="Y698" s="6"/>
      <c r="Z698" s="6"/>
      <c r="AA698" s="6" t="s">
        <v>96</v>
      </c>
    </row>
    <row r="699" spans="1:27" s="4" customFormat="1" ht="51.95" customHeight="1">
      <c r="A699" s="5">
        <v>0</v>
      </c>
      <c r="B699" s="6" t="s">
        <v>4446</v>
      </c>
      <c r="C699" s="7">
        <v>1364.9</v>
      </c>
      <c r="D699" s="8" t="s">
        <v>4447</v>
      </c>
      <c r="E699" s="8" t="s">
        <v>4448</v>
      </c>
      <c r="F699" s="8" t="s">
        <v>4449</v>
      </c>
      <c r="G699" s="6" t="s">
        <v>123</v>
      </c>
      <c r="H699" s="6" t="s">
        <v>1701</v>
      </c>
      <c r="I699" s="8" t="s">
        <v>492</v>
      </c>
      <c r="J699" s="9">
        <v>1</v>
      </c>
      <c r="K699" s="9">
        <v>304</v>
      </c>
      <c r="L699" s="9">
        <v>2023</v>
      </c>
      <c r="M699" s="8" t="s">
        <v>4450</v>
      </c>
      <c r="N699" s="8" t="s">
        <v>74</v>
      </c>
      <c r="O699" s="8" t="s">
        <v>93</v>
      </c>
      <c r="P699" s="6" t="s">
        <v>176</v>
      </c>
      <c r="Q699" s="8" t="s">
        <v>207</v>
      </c>
      <c r="R699" s="10" t="s">
        <v>4451</v>
      </c>
      <c r="S699" s="11" t="s">
        <v>4452</v>
      </c>
      <c r="T699" s="6"/>
      <c r="U699" s="28" t="str">
        <f>HYPERLINK("https://media.infra-m.ru/1900/1900720/cover/1900720.jpg", "Обложка")</f>
        <v>Обложка</v>
      </c>
      <c r="V699" s="28" t="str">
        <f>HYPERLINK("https://znanium.ru/catalog/product/1818640", "Ознакомиться")</f>
        <v>Ознакомиться</v>
      </c>
      <c r="W699" s="8" t="s">
        <v>2740</v>
      </c>
      <c r="X699" s="6"/>
      <c r="Y699" s="6"/>
      <c r="Z699" s="6"/>
      <c r="AA699" s="6" t="s">
        <v>4400</v>
      </c>
    </row>
    <row r="700" spans="1:27" s="4" customFormat="1" ht="51.95" customHeight="1">
      <c r="A700" s="5">
        <v>0</v>
      </c>
      <c r="B700" s="6" t="s">
        <v>4453</v>
      </c>
      <c r="C700" s="7">
        <v>1030</v>
      </c>
      <c r="D700" s="8" t="s">
        <v>4454</v>
      </c>
      <c r="E700" s="8" t="s">
        <v>4455</v>
      </c>
      <c r="F700" s="8" t="s">
        <v>244</v>
      </c>
      <c r="G700" s="6" t="s">
        <v>123</v>
      </c>
      <c r="H700" s="6" t="s">
        <v>38</v>
      </c>
      <c r="I700" s="8" t="s">
        <v>39</v>
      </c>
      <c r="J700" s="9">
        <v>1</v>
      </c>
      <c r="K700" s="9">
        <v>211</v>
      </c>
      <c r="L700" s="9">
        <v>2024</v>
      </c>
      <c r="M700" s="8" t="s">
        <v>4456</v>
      </c>
      <c r="N700" s="8" t="s">
        <v>74</v>
      </c>
      <c r="O700" s="8" t="s">
        <v>93</v>
      </c>
      <c r="P700" s="6" t="s">
        <v>43</v>
      </c>
      <c r="Q700" s="8" t="s">
        <v>44</v>
      </c>
      <c r="R700" s="10" t="s">
        <v>4457</v>
      </c>
      <c r="S700" s="11"/>
      <c r="T700" s="6"/>
      <c r="U700" s="28" t="str">
        <f>HYPERLINK("https://media.infra-m.ru/2116/2116144/cover/2116144.jpg", "Обложка")</f>
        <v>Обложка</v>
      </c>
      <c r="V700" s="28" t="str">
        <f>HYPERLINK("https://znanium.ru/catalog/product/2116144", "Ознакомиться")</f>
        <v>Ознакомиться</v>
      </c>
      <c r="W700" s="8" t="s">
        <v>247</v>
      </c>
      <c r="X700" s="6" t="s">
        <v>734</v>
      </c>
      <c r="Y700" s="6"/>
      <c r="Z700" s="6"/>
      <c r="AA700" s="6" t="s">
        <v>180</v>
      </c>
    </row>
    <row r="701" spans="1:27" s="4" customFormat="1" ht="42" customHeight="1">
      <c r="A701" s="5">
        <v>0</v>
      </c>
      <c r="B701" s="6" t="s">
        <v>4458</v>
      </c>
      <c r="C701" s="13">
        <v>714.9</v>
      </c>
      <c r="D701" s="8" t="s">
        <v>4459</v>
      </c>
      <c r="E701" s="8" t="s">
        <v>4460</v>
      </c>
      <c r="F701" s="8" t="s">
        <v>4461</v>
      </c>
      <c r="G701" s="6" t="s">
        <v>37</v>
      </c>
      <c r="H701" s="6" t="s">
        <v>618</v>
      </c>
      <c r="I701" s="8"/>
      <c r="J701" s="9">
        <v>1</v>
      </c>
      <c r="K701" s="9">
        <v>144</v>
      </c>
      <c r="L701" s="9">
        <v>2023</v>
      </c>
      <c r="M701" s="8" t="s">
        <v>4462</v>
      </c>
      <c r="N701" s="8" t="s">
        <v>41</v>
      </c>
      <c r="O701" s="8" t="s">
        <v>42</v>
      </c>
      <c r="P701" s="6" t="s">
        <v>4463</v>
      </c>
      <c r="Q701" s="8" t="s">
        <v>56</v>
      </c>
      <c r="R701" s="10" t="s">
        <v>4464</v>
      </c>
      <c r="S701" s="11"/>
      <c r="T701" s="6"/>
      <c r="U701" s="28" t="str">
        <f>HYPERLINK("https://media.infra-m.ru/1922/1922312/cover/1922312.jpg", "Обложка")</f>
        <v>Обложка</v>
      </c>
      <c r="V701" s="28" t="str">
        <f>HYPERLINK("https://znanium.ru/catalog/product/1922312", "Ознакомиться")</f>
        <v>Ознакомиться</v>
      </c>
      <c r="W701" s="8"/>
      <c r="X701" s="6"/>
      <c r="Y701" s="6" t="s">
        <v>30</v>
      </c>
      <c r="Z701" s="6"/>
      <c r="AA701" s="6" t="s">
        <v>650</v>
      </c>
    </row>
    <row r="702" spans="1:27" s="4" customFormat="1" ht="42" customHeight="1">
      <c r="A702" s="5">
        <v>0</v>
      </c>
      <c r="B702" s="6" t="s">
        <v>4465</v>
      </c>
      <c r="C702" s="7">
        <v>1474</v>
      </c>
      <c r="D702" s="8" t="s">
        <v>4466</v>
      </c>
      <c r="E702" s="8" t="s">
        <v>4467</v>
      </c>
      <c r="F702" s="8" t="s">
        <v>4468</v>
      </c>
      <c r="G702" s="6" t="s">
        <v>123</v>
      </c>
      <c r="H702" s="6" t="s">
        <v>52</v>
      </c>
      <c r="I702" s="8" t="s">
        <v>155</v>
      </c>
      <c r="J702" s="9">
        <v>1</v>
      </c>
      <c r="K702" s="9">
        <v>320</v>
      </c>
      <c r="L702" s="9">
        <v>2024</v>
      </c>
      <c r="M702" s="8" t="s">
        <v>4469</v>
      </c>
      <c r="N702" s="8" t="s">
        <v>41</v>
      </c>
      <c r="O702" s="8" t="s">
        <v>42</v>
      </c>
      <c r="P702" s="6" t="s">
        <v>2021</v>
      </c>
      <c r="Q702" s="8" t="s">
        <v>56</v>
      </c>
      <c r="R702" s="10" t="s">
        <v>2293</v>
      </c>
      <c r="S702" s="11"/>
      <c r="T702" s="6"/>
      <c r="U702" s="28" t="str">
        <f>HYPERLINK("https://media.infra-m.ru/2017/2017244/cover/2017244.jpg", "Обложка")</f>
        <v>Обложка</v>
      </c>
      <c r="V702" s="28" t="str">
        <f>HYPERLINK("https://znanium.ru/catalog/product/1841420", "Ознакомиться")</f>
        <v>Ознакомиться</v>
      </c>
      <c r="W702" s="8" t="s">
        <v>4470</v>
      </c>
      <c r="X702" s="6"/>
      <c r="Y702" s="6"/>
      <c r="Z702" s="6"/>
      <c r="AA702" s="6" t="s">
        <v>96</v>
      </c>
    </row>
    <row r="703" spans="1:27" s="4" customFormat="1" ht="51.95" customHeight="1">
      <c r="A703" s="5">
        <v>0</v>
      </c>
      <c r="B703" s="6" t="s">
        <v>4471</v>
      </c>
      <c r="C703" s="7">
        <v>1994.9</v>
      </c>
      <c r="D703" s="8" t="s">
        <v>4472</v>
      </c>
      <c r="E703" s="8" t="s">
        <v>4460</v>
      </c>
      <c r="F703" s="8" t="s">
        <v>4473</v>
      </c>
      <c r="G703" s="6" t="s">
        <v>123</v>
      </c>
      <c r="H703" s="6" t="s">
        <v>934</v>
      </c>
      <c r="I703" s="8" t="s">
        <v>155</v>
      </c>
      <c r="J703" s="9">
        <v>1</v>
      </c>
      <c r="K703" s="9">
        <v>639</v>
      </c>
      <c r="L703" s="9">
        <v>2023</v>
      </c>
      <c r="M703" s="8" t="s">
        <v>4474</v>
      </c>
      <c r="N703" s="8" t="s">
        <v>41</v>
      </c>
      <c r="O703" s="8" t="s">
        <v>42</v>
      </c>
      <c r="P703" s="6" t="s">
        <v>176</v>
      </c>
      <c r="Q703" s="8" t="s">
        <v>56</v>
      </c>
      <c r="R703" s="10" t="s">
        <v>2293</v>
      </c>
      <c r="S703" s="11" t="s">
        <v>4475</v>
      </c>
      <c r="T703" s="6"/>
      <c r="U703" s="28" t="str">
        <f>HYPERLINK("https://media.infra-m.ru/2061/2061430/cover/2061430.jpg", "Обложка")</f>
        <v>Обложка</v>
      </c>
      <c r="V703" s="28" t="str">
        <f>HYPERLINK("https://znanium.ru/catalog/product/2061430", "Ознакомиться")</f>
        <v>Ознакомиться</v>
      </c>
      <c r="W703" s="8" t="s">
        <v>2839</v>
      </c>
      <c r="X703" s="6"/>
      <c r="Y703" s="6"/>
      <c r="Z703" s="6"/>
      <c r="AA703" s="6" t="s">
        <v>47</v>
      </c>
    </row>
    <row r="704" spans="1:27" s="4" customFormat="1" ht="51.95" customHeight="1">
      <c r="A704" s="5">
        <v>0</v>
      </c>
      <c r="B704" s="6" t="s">
        <v>4476</v>
      </c>
      <c r="C704" s="7">
        <v>2490</v>
      </c>
      <c r="D704" s="8" t="s">
        <v>4477</v>
      </c>
      <c r="E704" s="8" t="s">
        <v>4460</v>
      </c>
      <c r="F704" s="8" t="s">
        <v>4478</v>
      </c>
      <c r="G704" s="6" t="s">
        <v>83</v>
      </c>
      <c r="H704" s="6" t="s">
        <v>38</v>
      </c>
      <c r="I704" s="8" t="s">
        <v>205</v>
      </c>
      <c r="J704" s="9">
        <v>1</v>
      </c>
      <c r="K704" s="9">
        <v>639</v>
      </c>
      <c r="L704" s="9">
        <v>2023</v>
      </c>
      <c r="M704" s="8" t="s">
        <v>4479</v>
      </c>
      <c r="N704" s="8" t="s">
        <v>41</v>
      </c>
      <c r="O704" s="8" t="s">
        <v>42</v>
      </c>
      <c r="P704" s="6" t="s">
        <v>176</v>
      </c>
      <c r="Q704" s="8" t="s">
        <v>207</v>
      </c>
      <c r="R704" s="10" t="s">
        <v>4480</v>
      </c>
      <c r="S704" s="11" t="s">
        <v>4481</v>
      </c>
      <c r="T704" s="6"/>
      <c r="U704" s="28" t="str">
        <f>HYPERLINK("https://media.infra-m.ru/1922/1922314/cover/1922314.jpg", "Обложка")</f>
        <v>Обложка</v>
      </c>
      <c r="V704" s="28" t="str">
        <f>HYPERLINK("https://znanium.ru/catalog/product/1922314", "Ознакомиться")</f>
        <v>Ознакомиться</v>
      </c>
      <c r="W704" s="8" t="s">
        <v>2839</v>
      </c>
      <c r="X704" s="6"/>
      <c r="Y704" s="6" t="s">
        <v>30</v>
      </c>
      <c r="Z704" s="6" t="s">
        <v>235</v>
      </c>
      <c r="AA704" s="6" t="s">
        <v>68</v>
      </c>
    </row>
    <row r="705" spans="1:27" s="4" customFormat="1" ht="42" customHeight="1">
      <c r="A705" s="5">
        <v>0</v>
      </c>
      <c r="B705" s="6" t="s">
        <v>4482</v>
      </c>
      <c r="C705" s="7">
        <v>2124</v>
      </c>
      <c r="D705" s="8" t="s">
        <v>4483</v>
      </c>
      <c r="E705" s="8" t="s">
        <v>4460</v>
      </c>
      <c r="F705" s="8" t="s">
        <v>4484</v>
      </c>
      <c r="G705" s="6" t="s">
        <v>123</v>
      </c>
      <c r="H705" s="6" t="s">
        <v>934</v>
      </c>
      <c r="I705" s="8" t="s">
        <v>155</v>
      </c>
      <c r="J705" s="9">
        <v>1</v>
      </c>
      <c r="K705" s="9">
        <v>462</v>
      </c>
      <c r="L705" s="9">
        <v>2024</v>
      </c>
      <c r="M705" s="8" t="s">
        <v>4485</v>
      </c>
      <c r="N705" s="8" t="s">
        <v>41</v>
      </c>
      <c r="O705" s="8" t="s">
        <v>42</v>
      </c>
      <c r="P705" s="6" t="s">
        <v>176</v>
      </c>
      <c r="Q705" s="8" t="s">
        <v>56</v>
      </c>
      <c r="R705" s="10" t="s">
        <v>2293</v>
      </c>
      <c r="S705" s="11"/>
      <c r="T705" s="6"/>
      <c r="U705" s="28" t="str">
        <f>HYPERLINK("https://media.infra-m.ru/2102/2102696/cover/2102696.jpg", "Обложка")</f>
        <v>Обложка</v>
      </c>
      <c r="V705" s="28" t="str">
        <f>HYPERLINK("https://znanium.ru/catalog/product/1194877", "Ознакомиться")</f>
        <v>Ознакомиться</v>
      </c>
      <c r="W705" s="8" t="s">
        <v>3382</v>
      </c>
      <c r="X705" s="6"/>
      <c r="Y705" s="6"/>
      <c r="Z705" s="6"/>
      <c r="AA705" s="6" t="s">
        <v>96</v>
      </c>
    </row>
    <row r="706" spans="1:27" s="4" customFormat="1" ht="42" customHeight="1">
      <c r="A706" s="5">
        <v>0</v>
      </c>
      <c r="B706" s="6" t="s">
        <v>4486</v>
      </c>
      <c r="C706" s="13">
        <v>394.9</v>
      </c>
      <c r="D706" s="8" t="s">
        <v>4487</v>
      </c>
      <c r="E706" s="8" t="s">
        <v>4460</v>
      </c>
      <c r="F706" s="8" t="s">
        <v>4488</v>
      </c>
      <c r="G706" s="6" t="s">
        <v>37</v>
      </c>
      <c r="H706" s="6" t="s">
        <v>317</v>
      </c>
      <c r="I706" s="8"/>
      <c r="J706" s="9">
        <v>1</v>
      </c>
      <c r="K706" s="9">
        <v>208</v>
      </c>
      <c r="L706" s="9">
        <v>2019</v>
      </c>
      <c r="M706" s="8" t="s">
        <v>4489</v>
      </c>
      <c r="N706" s="8" t="s">
        <v>41</v>
      </c>
      <c r="O706" s="8" t="s">
        <v>42</v>
      </c>
      <c r="P706" s="6" t="s">
        <v>55</v>
      </c>
      <c r="Q706" s="8" t="s">
        <v>56</v>
      </c>
      <c r="R706" s="10" t="s">
        <v>2293</v>
      </c>
      <c r="S706" s="11"/>
      <c r="T706" s="6"/>
      <c r="U706" s="28" t="str">
        <f>HYPERLINK("https://media.infra-m.ru/0911/0911580/cover/911580.jpg", "Обложка")</f>
        <v>Обложка</v>
      </c>
      <c r="V706" s="28" t="str">
        <f>HYPERLINK("https://znanium.ru/catalog/product/911580", "Ознакомиться")</f>
        <v>Ознакомиться</v>
      </c>
      <c r="W706" s="8"/>
      <c r="X706" s="6"/>
      <c r="Y706" s="6"/>
      <c r="Z706" s="6"/>
      <c r="AA706" s="6" t="s">
        <v>4490</v>
      </c>
    </row>
    <row r="707" spans="1:27" s="4" customFormat="1" ht="42" customHeight="1">
      <c r="A707" s="5">
        <v>0</v>
      </c>
      <c r="B707" s="6" t="s">
        <v>4491</v>
      </c>
      <c r="C707" s="13">
        <v>69.900000000000006</v>
      </c>
      <c r="D707" s="8" t="s">
        <v>4492</v>
      </c>
      <c r="E707" s="8" t="s">
        <v>4493</v>
      </c>
      <c r="F707" s="8"/>
      <c r="G707" s="6" t="s">
        <v>37</v>
      </c>
      <c r="H707" s="6" t="s">
        <v>317</v>
      </c>
      <c r="I707" s="8" t="s">
        <v>3201</v>
      </c>
      <c r="J707" s="9">
        <v>40</v>
      </c>
      <c r="K707" s="9">
        <v>240</v>
      </c>
      <c r="L707" s="9">
        <v>2016</v>
      </c>
      <c r="M707" s="8" t="s">
        <v>4494</v>
      </c>
      <c r="N707" s="8" t="s">
        <v>41</v>
      </c>
      <c r="O707" s="8" t="s">
        <v>42</v>
      </c>
      <c r="P707" s="6" t="s">
        <v>3203</v>
      </c>
      <c r="Q707" s="8" t="s">
        <v>56</v>
      </c>
      <c r="R707" s="10" t="s">
        <v>2293</v>
      </c>
      <c r="S707" s="11"/>
      <c r="T707" s="6"/>
      <c r="U707" s="28" t="str">
        <f>HYPERLINK("https://media.infra-m.ru/0553/0553700/cover/553700.jpg", "Обложка")</f>
        <v>Обложка</v>
      </c>
      <c r="V707" s="28" t="str">
        <f>HYPERLINK("https://znanium.ru/catalog/product/553700", "Ознакомиться")</f>
        <v>Ознакомиться</v>
      </c>
      <c r="W707" s="8"/>
      <c r="X707" s="6"/>
      <c r="Y707" s="6"/>
      <c r="Z707" s="6"/>
      <c r="AA707" s="6" t="s">
        <v>169</v>
      </c>
    </row>
    <row r="708" spans="1:27" s="4" customFormat="1" ht="42" customHeight="1">
      <c r="A708" s="5">
        <v>0</v>
      </c>
      <c r="B708" s="6" t="s">
        <v>4495</v>
      </c>
      <c r="C708" s="7">
        <v>1374.9</v>
      </c>
      <c r="D708" s="8" t="s">
        <v>4496</v>
      </c>
      <c r="E708" s="8" t="s">
        <v>4497</v>
      </c>
      <c r="F708" s="8" t="s">
        <v>4498</v>
      </c>
      <c r="G708" s="6" t="s">
        <v>123</v>
      </c>
      <c r="H708" s="6" t="s">
        <v>618</v>
      </c>
      <c r="I708" s="8"/>
      <c r="J708" s="9">
        <v>1</v>
      </c>
      <c r="K708" s="9">
        <v>352</v>
      </c>
      <c r="L708" s="9">
        <v>2022</v>
      </c>
      <c r="M708" s="8" t="s">
        <v>4499</v>
      </c>
      <c r="N708" s="8" t="s">
        <v>41</v>
      </c>
      <c r="O708" s="8" t="s">
        <v>65</v>
      </c>
      <c r="P708" s="6" t="s">
        <v>43</v>
      </c>
      <c r="Q708" s="8" t="s">
        <v>44</v>
      </c>
      <c r="R708" s="10" t="s">
        <v>4500</v>
      </c>
      <c r="S708" s="11"/>
      <c r="T708" s="6"/>
      <c r="U708" s="28" t="str">
        <f>HYPERLINK("https://media.infra-m.ru/1850/1850688/cover/1850688.jpg", "Обложка")</f>
        <v>Обложка</v>
      </c>
      <c r="V708" s="28" t="str">
        <f>HYPERLINK("https://znanium.ru/catalog/product/1850688", "Ознакомиться")</f>
        <v>Ознакомиться</v>
      </c>
      <c r="W708" s="8" t="s">
        <v>1592</v>
      </c>
      <c r="X708" s="6"/>
      <c r="Y708" s="6"/>
      <c r="Z708" s="6"/>
      <c r="AA708" s="6" t="s">
        <v>290</v>
      </c>
    </row>
    <row r="709" spans="1:27" s="4" customFormat="1" ht="51.95" customHeight="1">
      <c r="A709" s="5">
        <v>0</v>
      </c>
      <c r="B709" s="6" t="s">
        <v>4501</v>
      </c>
      <c r="C709" s="13">
        <v>680</v>
      </c>
      <c r="D709" s="8" t="s">
        <v>4502</v>
      </c>
      <c r="E709" s="8" t="s">
        <v>4503</v>
      </c>
      <c r="F709" s="8" t="s">
        <v>4504</v>
      </c>
      <c r="G709" s="6" t="s">
        <v>37</v>
      </c>
      <c r="H709" s="6" t="s">
        <v>38</v>
      </c>
      <c r="I709" s="8" t="s">
        <v>39</v>
      </c>
      <c r="J709" s="9">
        <v>1</v>
      </c>
      <c r="K709" s="9">
        <v>137</v>
      </c>
      <c r="L709" s="9">
        <v>2024</v>
      </c>
      <c r="M709" s="8" t="s">
        <v>4505</v>
      </c>
      <c r="N709" s="8" t="s">
        <v>74</v>
      </c>
      <c r="O709" s="8" t="s">
        <v>75</v>
      </c>
      <c r="P709" s="6" t="s">
        <v>3895</v>
      </c>
      <c r="Q709" s="8" t="s">
        <v>44</v>
      </c>
      <c r="R709" s="10" t="s">
        <v>4506</v>
      </c>
      <c r="S709" s="11"/>
      <c r="T709" s="6"/>
      <c r="U709" s="28" t="str">
        <f>HYPERLINK("https://media.infra-m.ru/1911/1911446/cover/1911446.jpg", "Обложка")</f>
        <v>Обложка</v>
      </c>
      <c r="V709" s="28" t="str">
        <f>HYPERLINK("https://znanium.ru/catalog/product/1911446", "Ознакомиться")</f>
        <v>Ознакомиться</v>
      </c>
      <c r="W709" s="8"/>
      <c r="X709" s="6" t="s">
        <v>1242</v>
      </c>
      <c r="Y709" s="6"/>
      <c r="Z709" s="6"/>
      <c r="AA709" s="6" t="s">
        <v>180</v>
      </c>
    </row>
    <row r="710" spans="1:27" s="4" customFormat="1" ht="51.95" customHeight="1">
      <c r="A710" s="5">
        <v>0</v>
      </c>
      <c r="B710" s="6" t="s">
        <v>4507</v>
      </c>
      <c r="C710" s="7">
        <v>2270</v>
      </c>
      <c r="D710" s="8" t="s">
        <v>4508</v>
      </c>
      <c r="E710" s="8" t="s">
        <v>4509</v>
      </c>
      <c r="F710" s="8" t="s">
        <v>4510</v>
      </c>
      <c r="G710" s="6" t="s">
        <v>37</v>
      </c>
      <c r="H710" s="6" t="s">
        <v>38</v>
      </c>
      <c r="I710" s="8" t="s">
        <v>39</v>
      </c>
      <c r="J710" s="9">
        <v>1</v>
      </c>
      <c r="K710" s="9">
        <v>482</v>
      </c>
      <c r="L710" s="9">
        <v>2024</v>
      </c>
      <c r="M710" s="8" t="s">
        <v>4511</v>
      </c>
      <c r="N710" s="8" t="s">
        <v>74</v>
      </c>
      <c r="O710" s="8" t="s">
        <v>75</v>
      </c>
      <c r="P710" s="6" t="s">
        <v>43</v>
      </c>
      <c r="Q710" s="8" t="s">
        <v>44</v>
      </c>
      <c r="R710" s="10" t="s">
        <v>4512</v>
      </c>
      <c r="S710" s="11"/>
      <c r="T710" s="6"/>
      <c r="U710" s="28" t="str">
        <f>HYPERLINK("https://media.infra-m.ru/2116/2116995/cover/2116995.jpg", "Обложка")</f>
        <v>Обложка</v>
      </c>
      <c r="V710" s="28" t="str">
        <f>HYPERLINK("https://znanium.ru/catalog/product/2116995", "Ознакомиться")</f>
        <v>Ознакомиться</v>
      </c>
      <c r="W710" s="8" t="s">
        <v>210</v>
      </c>
      <c r="X710" s="6"/>
      <c r="Y710" s="6"/>
      <c r="Z710" s="6"/>
      <c r="AA710" s="6" t="s">
        <v>68</v>
      </c>
    </row>
    <row r="711" spans="1:27" s="4" customFormat="1" ht="42" customHeight="1">
      <c r="A711" s="5">
        <v>0</v>
      </c>
      <c r="B711" s="6" t="s">
        <v>4513</v>
      </c>
      <c r="C711" s="13">
        <v>590</v>
      </c>
      <c r="D711" s="8" t="s">
        <v>4514</v>
      </c>
      <c r="E711" s="8" t="s">
        <v>4515</v>
      </c>
      <c r="F711" s="8" t="s">
        <v>400</v>
      </c>
      <c r="G711" s="6" t="s">
        <v>37</v>
      </c>
      <c r="H711" s="6" t="s">
        <v>38</v>
      </c>
      <c r="I711" s="8" t="s">
        <v>39</v>
      </c>
      <c r="J711" s="9">
        <v>1</v>
      </c>
      <c r="K711" s="9">
        <v>147</v>
      </c>
      <c r="L711" s="9">
        <v>2021</v>
      </c>
      <c r="M711" s="8" t="s">
        <v>4516</v>
      </c>
      <c r="N711" s="8" t="s">
        <v>74</v>
      </c>
      <c r="O711" s="8" t="s">
        <v>93</v>
      </c>
      <c r="P711" s="6" t="s">
        <v>43</v>
      </c>
      <c r="Q711" s="8" t="s">
        <v>44</v>
      </c>
      <c r="R711" s="10" t="s">
        <v>1710</v>
      </c>
      <c r="S711" s="11"/>
      <c r="T711" s="6"/>
      <c r="U711" s="28" t="str">
        <f>HYPERLINK("https://media.infra-m.ru/1218/1218149/cover/1218149.jpg", "Обложка")</f>
        <v>Обложка</v>
      </c>
      <c r="V711" s="28" t="str">
        <f>HYPERLINK("https://znanium.ru/catalog/product/1218149", "Ознакомиться")</f>
        <v>Ознакомиться</v>
      </c>
      <c r="W711" s="8" t="s">
        <v>402</v>
      </c>
      <c r="X711" s="6"/>
      <c r="Y711" s="6"/>
      <c r="Z711" s="6"/>
      <c r="AA711" s="6" t="s">
        <v>193</v>
      </c>
    </row>
    <row r="712" spans="1:27" s="4" customFormat="1" ht="51.95" customHeight="1">
      <c r="A712" s="5">
        <v>0</v>
      </c>
      <c r="B712" s="6" t="s">
        <v>4517</v>
      </c>
      <c r="C712" s="7">
        <v>1994</v>
      </c>
      <c r="D712" s="8" t="s">
        <v>4518</v>
      </c>
      <c r="E712" s="8" t="s">
        <v>4519</v>
      </c>
      <c r="F712" s="8" t="s">
        <v>1291</v>
      </c>
      <c r="G712" s="6" t="s">
        <v>123</v>
      </c>
      <c r="H712" s="6" t="s">
        <v>528</v>
      </c>
      <c r="I712" s="8"/>
      <c r="J712" s="9">
        <v>1</v>
      </c>
      <c r="K712" s="9">
        <v>656</v>
      </c>
      <c r="L712" s="9">
        <v>2023</v>
      </c>
      <c r="M712" s="8" t="s">
        <v>4520</v>
      </c>
      <c r="N712" s="8" t="s">
        <v>41</v>
      </c>
      <c r="O712" s="8" t="s">
        <v>65</v>
      </c>
      <c r="P712" s="6" t="s">
        <v>43</v>
      </c>
      <c r="Q712" s="8" t="s">
        <v>44</v>
      </c>
      <c r="R712" s="10" t="s">
        <v>4521</v>
      </c>
      <c r="S712" s="11"/>
      <c r="T712" s="6"/>
      <c r="U712" s="28" t="str">
        <f>HYPERLINK("https://media.infra-m.ru/1998/1998808/cover/1998808.jpg", "Обложка")</f>
        <v>Обложка</v>
      </c>
      <c r="V712" s="28" t="str">
        <f>HYPERLINK("https://znanium.ru/catalog/product/1998808", "Ознакомиться")</f>
        <v>Ознакомиться</v>
      </c>
      <c r="W712" s="8" t="s">
        <v>1105</v>
      </c>
      <c r="X712" s="6"/>
      <c r="Y712" s="6"/>
      <c r="Z712" s="6"/>
      <c r="AA712" s="6" t="s">
        <v>47</v>
      </c>
    </row>
    <row r="713" spans="1:27" s="4" customFormat="1" ht="51.95" customHeight="1">
      <c r="A713" s="5">
        <v>0</v>
      </c>
      <c r="B713" s="6" t="s">
        <v>4522</v>
      </c>
      <c r="C713" s="13">
        <v>990</v>
      </c>
      <c r="D713" s="8" t="s">
        <v>4523</v>
      </c>
      <c r="E713" s="8" t="s">
        <v>4524</v>
      </c>
      <c r="F713" s="8" t="s">
        <v>4525</v>
      </c>
      <c r="G713" s="6" t="s">
        <v>83</v>
      </c>
      <c r="H713" s="6" t="s">
        <v>38</v>
      </c>
      <c r="I713" s="8" t="s">
        <v>185</v>
      </c>
      <c r="J713" s="9">
        <v>1</v>
      </c>
      <c r="K713" s="9">
        <v>219</v>
      </c>
      <c r="L713" s="9">
        <v>2023</v>
      </c>
      <c r="M713" s="8" t="s">
        <v>4526</v>
      </c>
      <c r="N713" s="8" t="s">
        <v>74</v>
      </c>
      <c r="O713" s="8" t="s">
        <v>109</v>
      </c>
      <c r="P713" s="6" t="s">
        <v>55</v>
      </c>
      <c r="Q713" s="8" t="s">
        <v>187</v>
      </c>
      <c r="R713" s="10" t="s">
        <v>4527</v>
      </c>
      <c r="S713" s="11" t="s">
        <v>4528</v>
      </c>
      <c r="T713" s="6" t="s">
        <v>190</v>
      </c>
      <c r="U713" s="28" t="str">
        <f>HYPERLINK("https://media.infra-m.ru/1988/1988443/cover/1988443.jpg", "Обложка")</f>
        <v>Обложка</v>
      </c>
      <c r="V713" s="28" t="str">
        <f>HYPERLINK("https://znanium.ru/catalog/product/1988443", "Ознакомиться")</f>
        <v>Ознакомиться</v>
      </c>
      <c r="W713" s="8" t="s">
        <v>4102</v>
      </c>
      <c r="X713" s="6"/>
      <c r="Y713" s="6"/>
      <c r="Z713" s="6"/>
      <c r="AA713" s="6" t="s">
        <v>650</v>
      </c>
    </row>
    <row r="714" spans="1:27" s="4" customFormat="1" ht="51.95" customHeight="1">
      <c r="A714" s="5">
        <v>0</v>
      </c>
      <c r="B714" s="6" t="s">
        <v>4529</v>
      </c>
      <c r="C714" s="13">
        <v>764.9</v>
      </c>
      <c r="D714" s="8" t="s">
        <v>4530</v>
      </c>
      <c r="E714" s="8" t="s">
        <v>4531</v>
      </c>
      <c r="F714" s="8" t="s">
        <v>4532</v>
      </c>
      <c r="G714" s="6" t="s">
        <v>37</v>
      </c>
      <c r="H714" s="6" t="s">
        <v>470</v>
      </c>
      <c r="I714" s="8" t="s">
        <v>4533</v>
      </c>
      <c r="J714" s="9">
        <v>1</v>
      </c>
      <c r="K714" s="9">
        <v>160</v>
      </c>
      <c r="L714" s="9">
        <v>2024</v>
      </c>
      <c r="M714" s="8" t="s">
        <v>4534</v>
      </c>
      <c r="N714" s="8" t="s">
        <v>74</v>
      </c>
      <c r="O714" s="8" t="s">
        <v>109</v>
      </c>
      <c r="P714" s="6" t="s">
        <v>55</v>
      </c>
      <c r="Q714" s="8" t="s">
        <v>56</v>
      </c>
      <c r="R714" s="10" t="s">
        <v>4535</v>
      </c>
      <c r="S714" s="11" t="s">
        <v>4191</v>
      </c>
      <c r="T714" s="6"/>
      <c r="U714" s="28" t="str">
        <f>HYPERLINK("https://media.infra-m.ru/2091/2091894/cover/2091894.jpg", "Обложка")</f>
        <v>Обложка</v>
      </c>
      <c r="V714" s="28" t="str">
        <f>HYPERLINK("https://znanium.ru/catalog/product/1843769", "Ознакомиться")</f>
        <v>Ознакомиться</v>
      </c>
      <c r="W714" s="8" t="s">
        <v>441</v>
      </c>
      <c r="X714" s="6"/>
      <c r="Y714" s="6"/>
      <c r="Z714" s="6"/>
      <c r="AA714" s="6" t="s">
        <v>381</v>
      </c>
    </row>
    <row r="715" spans="1:27" s="4" customFormat="1" ht="51.95" customHeight="1">
      <c r="A715" s="5">
        <v>0</v>
      </c>
      <c r="B715" s="6" t="s">
        <v>4536</v>
      </c>
      <c r="C715" s="13">
        <v>750</v>
      </c>
      <c r="D715" s="8" t="s">
        <v>4537</v>
      </c>
      <c r="E715" s="8" t="s">
        <v>4531</v>
      </c>
      <c r="F715" s="8" t="s">
        <v>4532</v>
      </c>
      <c r="G715" s="6" t="s">
        <v>83</v>
      </c>
      <c r="H715" s="6" t="s">
        <v>470</v>
      </c>
      <c r="I715" s="8" t="s">
        <v>205</v>
      </c>
      <c r="J715" s="9">
        <v>1</v>
      </c>
      <c r="K715" s="9">
        <v>160</v>
      </c>
      <c r="L715" s="9">
        <v>2024</v>
      </c>
      <c r="M715" s="8" t="s">
        <v>4538</v>
      </c>
      <c r="N715" s="8" t="s">
        <v>74</v>
      </c>
      <c r="O715" s="8" t="s">
        <v>109</v>
      </c>
      <c r="P715" s="6" t="s">
        <v>55</v>
      </c>
      <c r="Q715" s="8" t="s">
        <v>207</v>
      </c>
      <c r="R715" s="10" t="s">
        <v>4539</v>
      </c>
      <c r="S715" s="11" t="s">
        <v>4540</v>
      </c>
      <c r="T715" s="6"/>
      <c r="U715" s="28" t="str">
        <f>HYPERLINK("https://media.infra-m.ru/2149/2149687/cover/2149687.jpg", "Обложка")</f>
        <v>Обложка</v>
      </c>
      <c r="V715" s="28" t="str">
        <f>HYPERLINK("https://znanium.ru/catalog/product/2149687", "Ознакомиться")</f>
        <v>Ознакомиться</v>
      </c>
      <c r="W715" s="8" t="s">
        <v>441</v>
      </c>
      <c r="X715" s="6"/>
      <c r="Y715" s="6"/>
      <c r="Z715" s="6" t="s">
        <v>235</v>
      </c>
      <c r="AA715" s="6" t="s">
        <v>103</v>
      </c>
    </row>
    <row r="716" spans="1:27" s="4" customFormat="1" ht="51.95" customHeight="1">
      <c r="A716" s="5">
        <v>0</v>
      </c>
      <c r="B716" s="6" t="s">
        <v>4541</v>
      </c>
      <c r="C716" s="13">
        <v>860</v>
      </c>
      <c r="D716" s="8" t="s">
        <v>4542</v>
      </c>
      <c r="E716" s="8" t="s">
        <v>4543</v>
      </c>
      <c r="F716" s="8" t="s">
        <v>4544</v>
      </c>
      <c r="G716" s="6" t="s">
        <v>37</v>
      </c>
      <c r="H716" s="6" t="s">
        <v>317</v>
      </c>
      <c r="I716" s="8" t="s">
        <v>39</v>
      </c>
      <c r="J716" s="9">
        <v>1</v>
      </c>
      <c r="K716" s="9">
        <v>191</v>
      </c>
      <c r="L716" s="9">
        <v>2023</v>
      </c>
      <c r="M716" s="8" t="s">
        <v>4545</v>
      </c>
      <c r="N716" s="8" t="s">
        <v>74</v>
      </c>
      <c r="O716" s="8" t="s">
        <v>93</v>
      </c>
      <c r="P716" s="6" t="s">
        <v>43</v>
      </c>
      <c r="Q716" s="8" t="s">
        <v>1340</v>
      </c>
      <c r="R716" s="10" t="s">
        <v>4546</v>
      </c>
      <c r="S716" s="11"/>
      <c r="T716" s="6"/>
      <c r="U716" s="28" t="str">
        <f>HYPERLINK("https://media.infra-m.ru/2005/2005203/cover/2005203.jpg", "Обложка")</f>
        <v>Обложка</v>
      </c>
      <c r="V716" s="28" t="str">
        <f>HYPERLINK("https://znanium.ru/catalog/product/2005203", "Ознакомиться")</f>
        <v>Ознакомиться</v>
      </c>
      <c r="W716" s="8" t="s">
        <v>4319</v>
      </c>
      <c r="X716" s="6"/>
      <c r="Y716" s="6"/>
      <c r="Z716" s="6"/>
      <c r="AA716" s="6" t="s">
        <v>169</v>
      </c>
    </row>
    <row r="717" spans="1:27" s="4" customFormat="1" ht="42" customHeight="1">
      <c r="A717" s="5">
        <v>0</v>
      </c>
      <c r="B717" s="6" t="s">
        <v>4547</v>
      </c>
      <c r="C717" s="13">
        <v>654.9</v>
      </c>
      <c r="D717" s="8" t="s">
        <v>4548</v>
      </c>
      <c r="E717" s="8" t="s">
        <v>4549</v>
      </c>
      <c r="F717" s="8" t="s">
        <v>4550</v>
      </c>
      <c r="G717" s="6" t="s">
        <v>37</v>
      </c>
      <c r="H717" s="6" t="s">
        <v>52</v>
      </c>
      <c r="I717" s="8" t="s">
        <v>155</v>
      </c>
      <c r="J717" s="9">
        <v>1</v>
      </c>
      <c r="K717" s="9">
        <v>144</v>
      </c>
      <c r="L717" s="9">
        <v>2023</v>
      </c>
      <c r="M717" s="8" t="s">
        <v>4551</v>
      </c>
      <c r="N717" s="8" t="s">
        <v>41</v>
      </c>
      <c r="O717" s="8" t="s">
        <v>54</v>
      </c>
      <c r="P717" s="6" t="s">
        <v>55</v>
      </c>
      <c r="Q717" s="8" t="s">
        <v>56</v>
      </c>
      <c r="R717" s="10" t="s">
        <v>3254</v>
      </c>
      <c r="S717" s="11"/>
      <c r="T717" s="6"/>
      <c r="U717" s="28" t="str">
        <f>HYPERLINK("https://media.infra-m.ru/1914/1914108/cover/1914108.jpg", "Обложка")</f>
        <v>Обложка</v>
      </c>
      <c r="V717" s="12"/>
      <c r="W717" s="8" t="s">
        <v>273</v>
      </c>
      <c r="X717" s="6"/>
      <c r="Y717" s="6"/>
      <c r="Z717" s="6"/>
      <c r="AA717" s="6" t="s">
        <v>274</v>
      </c>
    </row>
    <row r="718" spans="1:27" s="4" customFormat="1" ht="42" customHeight="1">
      <c r="A718" s="5">
        <v>0</v>
      </c>
      <c r="B718" s="6" t="s">
        <v>4552</v>
      </c>
      <c r="C718" s="13">
        <v>780</v>
      </c>
      <c r="D718" s="8" t="s">
        <v>4553</v>
      </c>
      <c r="E718" s="8" t="s">
        <v>4554</v>
      </c>
      <c r="F718" s="8" t="s">
        <v>4555</v>
      </c>
      <c r="G718" s="6" t="s">
        <v>37</v>
      </c>
      <c r="H718" s="6" t="s">
        <v>38</v>
      </c>
      <c r="I718" s="8" t="s">
        <v>39</v>
      </c>
      <c r="J718" s="9">
        <v>1</v>
      </c>
      <c r="K718" s="9">
        <v>174</v>
      </c>
      <c r="L718" s="9">
        <v>2023</v>
      </c>
      <c r="M718" s="8" t="s">
        <v>4556</v>
      </c>
      <c r="N718" s="8" t="s">
        <v>41</v>
      </c>
      <c r="O718" s="8" t="s">
        <v>42</v>
      </c>
      <c r="P718" s="6" t="s">
        <v>43</v>
      </c>
      <c r="Q718" s="8" t="s">
        <v>44</v>
      </c>
      <c r="R718" s="10" t="s">
        <v>4557</v>
      </c>
      <c r="S718" s="11"/>
      <c r="T718" s="6"/>
      <c r="U718" s="28" t="str">
        <f>HYPERLINK("https://media.infra-m.ru/1938/1938030/cover/1938030.jpg", "Обложка")</f>
        <v>Обложка</v>
      </c>
      <c r="V718" s="28" t="str">
        <f>HYPERLINK("https://znanium.ru/catalog/product/1938030", "Ознакомиться")</f>
        <v>Ознакомиться</v>
      </c>
      <c r="W718" s="8" t="s">
        <v>58</v>
      </c>
      <c r="X718" s="6"/>
      <c r="Y718" s="6"/>
      <c r="Z718" s="6"/>
      <c r="AA718" s="6" t="s">
        <v>290</v>
      </c>
    </row>
    <row r="719" spans="1:27" s="4" customFormat="1" ht="42" customHeight="1">
      <c r="A719" s="5">
        <v>0</v>
      </c>
      <c r="B719" s="6" t="s">
        <v>4558</v>
      </c>
      <c r="C719" s="7">
        <v>1630</v>
      </c>
      <c r="D719" s="8" t="s">
        <v>4559</v>
      </c>
      <c r="E719" s="8" t="s">
        <v>4560</v>
      </c>
      <c r="F719" s="8" t="s">
        <v>4561</v>
      </c>
      <c r="G719" s="6" t="s">
        <v>37</v>
      </c>
      <c r="H719" s="6" t="s">
        <v>38</v>
      </c>
      <c r="I719" s="8" t="s">
        <v>39</v>
      </c>
      <c r="J719" s="9">
        <v>1</v>
      </c>
      <c r="K719" s="9">
        <v>430</v>
      </c>
      <c r="L719" s="9">
        <v>2021</v>
      </c>
      <c r="M719" s="8" t="s">
        <v>4562</v>
      </c>
      <c r="N719" s="8" t="s">
        <v>74</v>
      </c>
      <c r="O719" s="8" t="s">
        <v>75</v>
      </c>
      <c r="P719" s="6" t="s">
        <v>43</v>
      </c>
      <c r="Q719" s="8" t="s">
        <v>44</v>
      </c>
      <c r="R719" s="10" t="s">
        <v>1034</v>
      </c>
      <c r="S719" s="11"/>
      <c r="T719" s="6"/>
      <c r="U719" s="28" t="str">
        <f>HYPERLINK("https://media.infra-m.ru/1095/1095050/cover/1095050.jpg", "Обложка")</f>
        <v>Обложка</v>
      </c>
      <c r="V719" s="28" t="str">
        <f>HYPERLINK("https://znanium.ru/catalog/product/1095050", "Ознакомиться")</f>
        <v>Ознакомиться</v>
      </c>
      <c r="W719" s="8" t="s">
        <v>1579</v>
      </c>
      <c r="X719" s="6"/>
      <c r="Y719" s="6"/>
      <c r="Z719" s="6"/>
      <c r="AA719" s="6" t="s">
        <v>193</v>
      </c>
    </row>
    <row r="720" spans="1:27" s="4" customFormat="1" ht="51.95" customHeight="1">
      <c r="A720" s="5">
        <v>0</v>
      </c>
      <c r="B720" s="6" t="s">
        <v>4563</v>
      </c>
      <c r="C720" s="13">
        <v>734</v>
      </c>
      <c r="D720" s="8" t="s">
        <v>4564</v>
      </c>
      <c r="E720" s="8" t="s">
        <v>4565</v>
      </c>
      <c r="F720" s="8" t="s">
        <v>4566</v>
      </c>
      <c r="G720" s="6" t="s">
        <v>37</v>
      </c>
      <c r="H720" s="6" t="s">
        <v>52</v>
      </c>
      <c r="I720" s="8" t="s">
        <v>205</v>
      </c>
      <c r="J720" s="9">
        <v>1</v>
      </c>
      <c r="K720" s="9">
        <v>112</v>
      </c>
      <c r="L720" s="9">
        <v>2024</v>
      </c>
      <c r="M720" s="8" t="s">
        <v>4567</v>
      </c>
      <c r="N720" s="8" t="s">
        <v>74</v>
      </c>
      <c r="O720" s="8" t="s">
        <v>394</v>
      </c>
      <c r="P720" s="6" t="s">
        <v>55</v>
      </c>
      <c r="Q720" s="8" t="s">
        <v>207</v>
      </c>
      <c r="R720" s="10" t="s">
        <v>4568</v>
      </c>
      <c r="S720" s="11" t="s">
        <v>4569</v>
      </c>
      <c r="T720" s="6"/>
      <c r="U720" s="28" t="str">
        <f>HYPERLINK("https://media.infra-m.ru/2139/2139098/cover/2139098.jpg", "Обложка")</f>
        <v>Обложка</v>
      </c>
      <c r="V720" s="28" t="str">
        <f>HYPERLINK("https://znanium.ru/catalog/product/1873277", "Ознакомиться")</f>
        <v>Ознакомиться</v>
      </c>
      <c r="W720" s="8" t="s">
        <v>4570</v>
      </c>
      <c r="X720" s="6"/>
      <c r="Y720" s="6"/>
      <c r="Z720" s="6"/>
      <c r="AA720" s="6" t="s">
        <v>150</v>
      </c>
    </row>
    <row r="721" spans="1:27" s="4" customFormat="1" ht="51.95" customHeight="1">
      <c r="A721" s="5">
        <v>0</v>
      </c>
      <c r="B721" s="6" t="s">
        <v>4571</v>
      </c>
      <c r="C721" s="13">
        <v>500</v>
      </c>
      <c r="D721" s="8" t="s">
        <v>4572</v>
      </c>
      <c r="E721" s="8" t="s">
        <v>4573</v>
      </c>
      <c r="F721" s="8" t="s">
        <v>4566</v>
      </c>
      <c r="G721" s="6" t="s">
        <v>37</v>
      </c>
      <c r="H721" s="6" t="s">
        <v>52</v>
      </c>
      <c r="I721" s="8" t="s">
        <v>205</v>
      </c>
      <c r="J721" s="9">
        <v>1</v>
      </c>
      <c r="K721" s="9">
        <v>112</v>
      </c>
      <c r="L721" s="9">
        <v>2018</v>
      </c>
      <c r="M721" s="8" t="s">
        <v>4574</v>
      </c>
      <c r="N721" s="8" t="s">
        <v>74</v>
      </c>
      <c r="O721" s="8" t="s">
        <v>394</v>
      </c>
      <c r="P721" s="6" t="s">
        <v>55</v>
      </c>
      <c r="Q721" s="8" t="s">
        <v>207</v>
      </c>
      <c r="R721" s="10" t="s">
        <v>4568</v>
      </c>
      <c r="S721" s="11" t="s">
        <v>4575</v>
      </c>
      <c r="T721" s="6"/>
      <c r="U721" s="28" t="str">
        <f>HYPERLINK("https://media.infra-m.ru/0958/0958278/cover/958278.jpg", "Обложка")</f>
        <v>Обложка</v>
      </c>
      <c r="V721" s="28" t="str">
        <f>HYPERLINK("https://znanium.ru/catalog/product/1873277", "Ознакомиться")</f>
        <v>Ознакомиться</v>
      </c>
      <c r="W721" s="8" t="s">
        <v>4570</v>
      </c>
      <c r="X721" s="6"/>
      <c r="Y721" s="6"/>
      <c r="Z721" s="6"/>
      <c r="AA721" s="6" t="s">
        <v>47</v>
      </c>
    </row>
    <row r="722" spans="1:27" s="4" customFormat="1" ht="51.95" customHeight="1">
      <c r="A722" s="5">
        <v>0</v>
      </c>
      <c r="B722" s="6" t="s">
        <v>4576</v>
      </c>
      <c r="C722" s="13">
        <v>460</v>
      </c>
      <c r="D722" s="8" t="s">
        <v>4577</v>
      </c>
      <c r="E722" s="8" t="s">
        <v>4578</v>
      </c>
      <c r="F722" s="8" t="s">
        <v>4579</v>
      </c>
      <c r="G722" s="6" t="s">
        <v>37</v>
      </c>
      <c r="H722" s="6" t="s">
        <v>52</v>
      </c>
      <c r="I722" s="8" t="s">
        <v>155</v>
      </c>
      <c r="J722" s="9">
        <v>1</v>
      </c>
      <c r="K722" s="9">
        <v>72</v>
      </c>
      <c r="L722" s="9">
        <v>2023</v>
      </c>
      <c r="M722" s="8" t="s">
        <v>4580</v>
      </c>
      <c r="N722" s="8" t="s">
        <v>74</v>
      </c>
      <c r="O722" s="8" t="s">
        <v>75</v>
      </c>
      <c r="P722" s="6" t="s">
        <v>55</v>
      </c>
      <c r="Q722" s="8" t="s">
        <v>177</v>
      </c>
      <c r="R722" s="10" t="s">
        <v>4581</v>
      </c>
      <c r="S722" s="11" t="s">
        <v>2385</v>
      </c>
      <c r="T722" s="6"/>
      <c r="U722" s="28" t="str">
        <f>HYPERLINK("https://media.infra-m.ru/1904/1904345/cover/1904345.jpg", "Обложка")</f>
        <v>Обложка</v>
      </c>
      <c r="V722" s="28" t="str">
        <f>HYPERLINK("https://znanium.ru/catalog/product/1904345", "Ознакомиться")</f>
        <v>Ознакомиться</v>
      </c>
      <c r="W722" s="8" t="s">
        <v>4319</v>
      </c>
      <c r="X722" s="6"/>
      <c r="Y722" s="6"/>
      <c r="Z722" s="6"/>
      <c r="AA722" s="6" t="s">
        <v>47</v>
      </c>
    </row>
    <row r="723" spans="1:27" s="4" customFormat="1" ht="42" customHeight="1">
      <c r="A723" s="5">
        <v>0</v>
      </c>
      <c r="B723" s="6" t="s">
        <v>4582</v>
      </c>
      <c r="C723" s="13">
        <v>460</v>
      </c>
      <c r="D723" s="8" t="s">
        <v>4583</v>
      </c>
      <c r="E723" s="8" t="s">
        <v>4578</v>
      </c>
      <c r="F723" s="8" t="s">
        <v>4579</v>
      </c>
      <c r="G723" s="6" t="s">
        <v>37</v>
      </c>
      <c r="H723" s="6" t="s">
        <v>52</v>
      </c>
      <c r="I723" s="8" t="s">
        <v>205</v>
      </c>
      <c r="J723" s="9">
        <v>1</v>
      </c>
      <c r="K723" s="9">
        <v>72</v>
      </c>
      <c r="L723" s="9">
        <v>2024</v>
      </c>
      <c r="M723" s="8" t="s">
        <v>4584</v>
      </c>
      <c r="N723" s="8" t="s">
        <v>74</v>
      </c>
      <c r="O723" s="8" t="s">
        <v>75</v>
      </c>
      <c r="P723" s="6" t="s">
        <v>55</v>
      </c>
      <c r="Q723" s="8" t="s">
        <v>207</v>
      </c>
      <c r="R723" s="10" t="s">
        <v>4585</v>
      </c>
      <c r="S723" s="11"/>
      <c r="T723" s="6"/>
      <c r="U723" s="28" t="str">
        <f>HYPERLINK("https://media.infra-m.ru/1920/1920367/cover/1920367.jpg", "Обложка")</f>
        <v>Обложка</v>
      </c>
      <c r="V723" s="28" t="str">
        <f>HYPERLINK("https://znanium.ru/catalog/product/1920367", "Ознакомиться")</f>
        <v>Ознакомиться</v>
      </c>
      <c r="W723" s="8" t="s">
        <v>4319</v>
      </c>
      <c r="X723" s="6" t="s">
        <v>1997</v>
      </c>
      <c r="Y723" s="6"/>
      <c r="Z723" s="6" t="s">
        <v>782</v>
      </c>
      <c r="AA723" s="6" t="s">
        <v>180</v>
      </c>
    </row>
    <row r="724" spans="1:27" s="4" customFormat="1" ht="51.95" customHeight="1">
      <c r="A724" s="5">
        <v>0</v>
      </c>
      <c r="B724" s="6" t="s">
        <v>4586</v>
      </c>
      <c r="C724" s="13">
        <v>294.89999999999998</v>
      </c>
      <c r="D724" s="8" t="s">
        <v>4587</v>
      </c>
      <c r="E724" s="8" t="s">
        <v>4588</v>
      </c>
      <c r="F724" s="8" t="s">
        <v>3721</v>
      </c>
      <c r="G724" s="6" t="s">
        <v>37</v>
      </c>
      <c r="H724" s="6" t="s">
        <v>618</v>
      </c>
      <c r="I724" s="8"/>
      <c r="J724" s="9">
        <v>1</v>
      </c>
      <c r="K724" s="9">
        <v>112</v>
      </c>
      <c r="L724" s="9">
        <v>2018</v>
      </c>
      <c r="M724" s="8" t="s">
        <v>4589</v>
      </c>
      <c r="N724" s="8" t="s">
        <v>74</v>
      </c>
      <c r="O724" s="8" t="s">
        <v>93</v>
      </c>
      <c r="P724" s="6" t="s">
        <v>43</v>
      </c>
      <c r="Q724" s="8" t="s">
        <v>44</v>
      </c>
      <c r="R724" s="10" t="s">
        <v>4590</v>
      </c>
      <c r="S724" s="11"/>
      <c r="T724" s="6"/>
      <c r="U724" s="12"/>
      <c r="V724" s="28" t="str">
        <f>HYPERLINK("https://znanium.ru/catalog/product/1946283", "Ознакомиться")</f>
        <v>Ознакомиться</v>
      </c>
      <c r="W724" s="8" t="s">
        <v>416</v>
      </c>
      <c r="X724" s="6"/>
      <c r="Y724" s="6"/>
      <c r="Z724" s="6"/>
      <c r="AA724" s="6" t="s">
        <v>381</v>
      </c>
    </row>
    <row r="725" spans="1:27" s="4" customFormat="1" ht="51.95" customHeight="1">
      <c r="A725" s="5">
        <v>0</v>
      </c>
      <c r="B725" s="6" t="s">
        <v>4591</v>
      </c>
      <c r="C725" s="13">
        <v>510</v>
      </c>
      <c r="D725" s="8" t="s">
        <v>4592</v>
      </c>
      <c r="E725" s="8" t="s">
        <v>4593</v>
      </c>
      <c r="F725" s="8" t="s">
        <v>1215</v>
      </c>
      <c r="G725" s="6" t="s">
        <v>37</v>
      </c>
      <c r="H725" s="6" t="s">
        <v>618</v>
      </c>
      <c r="I725" s="8"/>
      <c r="J725" s="9">
        <v>1</v>
      </c>
      <c r="K725" s="9">
        <v>112</v>
      </c>
      <c r="L725" s="9">
        <v>2023</v>
      </c>
      <c r="M725" s="8" t="s">
        <v>4589</v>
      </c>
      <c r="N725" s="8" t="s">
        <v>74</v>
      </c>
      <c r="O725" s="8" t="s">
        <v>93</v>
      </c>
      <c r="P725" s="6" t="s">
        <v>43</v>
      </c>
      <c r="Q725" s="8" t="s">
        <v>44</v>
      </c>
      <c r="R725" s="10" t="s">
        <v>4590</v>
      </c>
      <c r="S725" s="11"/>
      <c r="T725" s="6"/>
      <c r="U725" s="28" t="str">
        <f>HYPERLINK("https://media.infra-m.ru/1946/1946283/cover/1946283.jpg", "Обложка")</f>
        <v>Обложка</v>
      </c>
      <c r="V725" s="28" t="str">
        <f>HYPERLINK("https://znanium.ru/catalog/product/1946283", "Ознакомиться")</f>
        <v>Ознакомиться</v>
      </c>
      <c r="W725" s="8" t="s">
        <v>416</v>
      </c>
      <c r="X725" s="6"/>
      <c r="Y725" s="6"/>
      <c r="Z725" s="6"/>
      <c r="AA725" s="6" t="s">
        <v>1217</v>
      </c>
    </row>
    <row r="726" spans="1:27" s="4" customFormat="1" ht="51.95" customHeight="1">
      <c r="A726" s="5">
        <v>0</v>
      </c>
      <c r="B726" s="6" t="s">
        <v>4594</v>
      </c>
      <c r="C726" s="7">
        <v>1550</v>
      </c>
      <c r="D726" s="8" t="s">
        <v>4595</v>
      </c>
      <c r="E726" s="8" t="s">
        <v>4596</v>
      </c>
      <c r="F726" s="8" t="s">
        <v>4597</v>
      </c>
      <c r="G726" s="6" t="s">
        <v>123</v>
      </c>
      <c r="H726" s="6" t="s">
        <v>38</v>
      </c>
      <c r="I726" s="8" t="s">
        <v>39</v>
      </c>
      <c r="J726" s="9">
        <v>1</v>
      </c>
      <c r="K726" s="9">
        <v>330</v>
      </c>
      <c r="L726" s="9">
        <v>2024</v>
      </c>
      <c r="M726" s="8" t="s">
        <v>4598</v>
      </c>
      <c r="N726" s="8" t="s">
        <v>74</v>
      </c>
      <c r="O726" s="8" t="s">
        <v>75</v>
      </c>
      <c r="P726" s="6" t="s">
        <v>43</v>
      </c>
      <c r="Q726" s="8" t="s">
        <v>44</v>
      </c>
      <c r="R726" s="10" t="s">
        <v>4599</v>
      </c>
      <c r="S726" s="11"/>
      <c r="T726" s="6"/>
      <c r="U726" s="28" t="str">
        <f>HYPERLINK("https://media.infra-m.ru/1986/1986683/cover/1986683.jpg", "Обложка")</f>
        <v>Обложка</v>
      </c>
      <c r="V726" s="28" t="str">
        <f>HYPERLINK("https://znanium.ru/catalog/product/1986683", "Ознакомиться")</f>
        <v>Ознакомиться</v>
      </c>
      <c r="W726" s="8" t="s">
        <v>273</v>
      </c>
      <c r="X726" s="6" t="s">
        <v>298</v>
      </c>
      <c r="Y726" s="6"/>
      <c r="Z726" s="6"/>
      <c r="AA726" s="6" t="s">
        <v>180</v>
      </c>
    </row>
    <row r="727" spans="1:27" s="4" customFormat="1" ht="51.95" customHeight="1">
      <c r="A727" s="5">
        <v>0</v>
      </c>
      <c r="B727" s="6" t="s">
        <v>4600</v>
      </c>
      <c r="C727" s="13">
        <v>870</v>
      </c>
      <c r="D727" s="8" t="s">
        <v>4601</v>
      </c>
      <c r="E727" s="8" t="s">
        <v>4602</v>
      </c>
      <c r="F727" s="8" t="s">
        <v>4603</v>
      </c>
      <c r="G727" s="6" t="s">
        <v>37</v>
      </c>
      <c r="H727" s="6" t="s">
        <v>38</v>
      </c>
      <c r="I727" s="8" t="s">
        <v>39</v>
      </c>
      <c r="J727" s="9">
        <v>1</v>
      </c>
      <c r="K727" s="9">
        <v>184</v>
      </c>
      <c r="L727" s="9">
        <v>2024</v>
      </c>
      <c r="M727" s="8" t="s">
        <v>4604</v>
      </c>
      <c r="N727" s="8" t="s">
        <v>74</v>
      </c>
      <c r="O727" s="8" t="s">
        <v>75</v>
      </c>
      <c r="P727" s="6" t="s">
        <v>43</v>
      </c>
      <c r="Q727" s="8" t="s">
        <v>44</v>
      </c>
      <c r="R727" s="10" t="s">
        <v>4605</v>
      </c>
      <c r="S727" s="11"/>
      <c r="T727" s="6"/>
      <c r="U727" s="28" t="str">
        <f>HYPERLINK("https://media.infra-m.ru/2149/2149631/cover/2149631.jpg", "Обложка")</f>
        <v>Обложка</v>
      </c>
      <c r="V727" s="28" t="str">
        <f>HYPERLINK("https://znanium.ru/catalog/product/2149631", "Ознакомиться")</f>
        <v>Ознакомиться</v>
      </c>
      <c r="W727" s="8" t="s">
        <v>4606</v>
      </c>
      <c r="X727" s="6"/>
      <c r="Y727" s="6"/>
      <c r="Z727" s="6"/>
      <c r="AA727" s="6" t="s">
        <v>68</v>
      </c>
    </row>
    <row r="728" spans="1:27" s="4" customFormat="1" ht="51.95" customHeight="1">
      <c r="A728" s="5">
        <v>0</v>
      </c>
      <c r="B728" s="6" t="s">
        <v>4607</v>
      </c>
      <c r="C728" s="13">
        <v>750</v>
      </c>
      <c r="D728" s="8" t="s">
        <v>4608</v>
      </c>
      <c r="E728" s="8" t="s">
        <v>4609</v>
      </c>
      <c r="F728" s="8" t="s">
        <v>2514</v>
      </c>
      <c r="G728" s="6" t="s">
        <v>37</v>
      </c>
      <c r="H728" s="6" t="s">
        <v>317</v>
      </c>
      <c r="I728" s="8" t="s">
        <v>39</v>
      </c>
      <c r="J728" s="9">
        <v>1</v>
      </c>
      <c r="K728" s="9">
        <v>150</v>
      </c>
      <c r="L728" s="9">
        <v>2024</v>
      </c>
      <c r="M728" s="8" t="s">
        <v>4610</v>
      </c>
      <c r="N728" s="8" t="s">
        <v>41</v>
      </c>
      <c r="O728" s="8" t="s">
        <v>42</v>
      </c>
      <c r="P728" s="6" t="s">
        <v>43</v>
      </c>
      <c r="Q728" s="8" t="s">
        <v>1340</v>
      </c>
      <c r="R728" s="10" t="s">
        <v>4611</v>
      </c>
      <c r="S728" s="11"/>
      <c r="T728" s="6"/>
      <c r="U728" s="28" t="str">
        <f>HYPERLINK("https://media.infra-m.ru/2138/2138732/cover/2138732.jpg", "Обложка")</f>
        <v>Обложка</v>
      </c>
      <c r="V728" s="28" t="str">
        <f>HYPERLINK("https://znanium.ru/catalog/product/2138732", "Ознакомиться")</f>
        <v>Ознакомиться</v>
      </c>
      <c r="W728" s="8" t="s">
        <v>2144</v>
      </c>
      <c r="X728" s="6"/>
      <c r="Y728" s="6"/>
      <c r="Z728" s="6"/>
      <c r="AA728" s="6" t="s">
        <v>364</v>
      </c>
    </row>
    <row r="729" spans="1:27" s="4" customFormat="1" ht="42" customHeight="1">
      <c r="A729" s="5">
        <v>0</v>
      </c>
      <c r="B729" s="6" t="s">
        <v>4612</v>
      </c>
      <c r="C729" s="13">
        <v>760</v>
      </c>
      <c r="D729" s="8" t="s">
        <v>4613</v>
      </c>
      <c r="E729" s="8" t="s">
        <v>4614</v>
      </c>
      <c r="F729" s="8" t="s">
        <v>4615</v>
      </c>
      <c r="G729" s="6" t="s">
        <v>37</v>
      </c>
      <c r="H729" s="6" t="s">
        <v>470</v>
      </c>
      <c r="I729" s="8" t="s">
        <v>470</v>
      </c>
      <c r="J729" s="9">
        <v>1</v>
      </c>
      <c r="K729" s="9">
        <v>160</v>
      </c>
      <c r="L729" s="9">
        <v>2024</v>
      </c>
      <c r="M729" s="8" t="s">
        <v>4616</v>
      </c>
      <c r="N729" s="8" t="s">
        <v>41</v>
      </c>
      <c r="O729" s="8" t="s">
        <v>54</v>
      </c>
      <c r="P729" s="6" t="s">
        <v>976</v>
      </c>
      <c r="Q729" s="8" t="s">
        <v>56</v>
      </c>
      <c r="R729" s="10" t="s">
        <v>4617</v>
      </c>
      <c r="S729" s="11"/>
      <c r="T729" s="6"/>
      <c r="U729" s="28" t="str">
        <f>HYPERLINK("https://media.infra-m.ru/2079/2079695/cover/2079695.jpg", "Обложка")</f>
        <v>Обложка</v>
      </c>
      <c r="V729" s="28" t="str">
        <f>HYPERLINK("https://znanium.ru/catalog/product/2079695", "Ознакомиться")</f>
        <v>Ознакомиться</v>
      </c>
      <c r="W729" s="8" t="s">
        <v>140</v>
      </c>
      <c r="X729" s="6"/>
      <c r="Y729" s="6"/>
      <c r="Z729" s="6"/>
      <c r="AA729" s="6" t="s">
        <v>169</v>
      </c>
    </row>
    <row r="730" spans="1:27" s="4" customFormat="1" ht="42" customHeight="1">
      <c r="A730" s="5">
        <v>0</v>
      </c>
      <c r="B730" s="6" t="s">
        <v>4618</v>
      </c>
      <c r="C730" s="7">
        <v>1670</v>
      </c>
      <c r="D730" s="8" t="s">
        <v>4619</v>
      </c>
      <c r="E730" s="8" t="s">
        <v>4620</v>
      </c>
      <c r="F730" s="8" t="s">
        <v>4621</v>
      </c>
      <c r="G730" s="6" t="s">
        <v>123</v>
      </c>
      <c r="H730" s="6" t="s">
        <v>38</v>
      </c>
      <c r="I730" s="8" t="s">
        <v>39</v>
      </c>
      <c r="J730" s="9">
        <v>1</v>
      </c>
      <c r="K730" s="9">
        <v>356</v>
      </c>
      <c r="L730" s="9">
        <v>2024</v>
      </c>
      <c r="M730" s="8" t="s">
        <v>4622</v>
      </c>
      <c r="N730" s="8" t="s">
        <v>74</v>
      </c>
      <c r="O730" s="8" t="s">
        <v>75</v>
      </c>
      <c r="P730" s="6" t="s">
        <v>43</v>
      </c>
      <c r="Q730" s="8" t="s">
        <v>44</v>
      </c>
      <c r="R730" s="10" t="s">
        <v>4623</v>
      </c>
      <c r="S730" s="11"/>
      <c r="T730" s="6"/>
      <c r="U730" s="28" t="str">
        <f>HYPERLINK("https://media.infra-m.ru/2079/2079783/cover/2079783.jpg", "Обложка")</f>
        <v>Обложка</v>
      </c>
      <c r="V730" s="28" t="str">
        <f>HYPERLINK("https://znanium.ru/catalog/product/2079783", "Ознакомиться")</f>
        <v>Ознакомиться</v>
      </c>
      <c r="W730" s="8" t="s">
        <v>77</v>
      </c>
      <c r="X730" s="6" t="s">
        <v>503</v>
      </c>
      <c r="Y730" s="6"/>
      <c r="Z730" s="6"/>
      <c r="AA730" s="6" t="s">
        <v>180</v>
      </c>
    </row>
    <row r="731" spans="1:27" s="4" customFormat="1" ht="51.95" customHeight="1">
      <c r="A731" s="5">
        <v>0</v>
      </c>
      <c r="B731" s="6" t="s">
        <v>4624</v>
      </c>
      <c r="C731" s="13">
        <v>570</v>
      </c>
      <c r="D731" s="8" t="s">
        <v>4625</v>
      </c>
      <c r="E731" s="8" t="s">
        <v>4626</v>
      </c>
      <c r="F731" s="8" t="s">
        <v>4627</v>
      </c>
      <c r="G731" s="6" t="s">
        <v>37</v>
      </c>
      <c r="H731" s="6" t="s">
        <v>470</v>
      </c>
      <c r="I731" s="8" t="s">
        <v>4628</v>
      </c>
      <c r="J731" s="9">
        <v>1</v>
      </c>
      <c r="K731" s="9">
        <v>126</v>
      </c>
      <c r="L731" s="9">
        <v>2023</v>
      </c>
      <c r="M731" s="8" t="s">
        <v>4629</v>
      </c>
      <c r="N731" s="8" t="s">
        <v>41</v>
      </c>
      <c r="O731" s="8" t="s">
        <v>65</v>
      </c>
      <c r="P731" s="6" t="s">
        <v>43</v>
      </c>
      <c r="Q731" s="8" t="s">
        <v>44</v>
      </c>
      <c r="R731" s="10" t="s">
        <v>4630</v>
      </c>
      <c r="S731" s="11"/>
      <c r="T731" s="6"/>
      <c r="U731" s="28" t="str">
        <f>HYPERLINK("https://media.infra-m.ru/1919/1919481/cover/1919481.jpg", "Обложка")</f>
        <v>Обложка</v>
      </c>
      <c r="V731" s="28" t="str">
        <f>HYPERLINK("https://znanium.ru/catalog/product/1919481", "Ознакомиться")</f>
        <v>Ознакомиться</v>
      </c>
      <c r="W731" s="8" t="s">
        <v>140</v>
      </c>
      <c r="X731" s="6"/>
      <c r="Y731" s="6"/>
      <c r="Z731" s="6"/>
      <c r="AA731" s="6" t="s">
        <v>381</v>
      </c>
    </row>
    <row r="732" spans="1:27" s="4" customFormat="1" ht="51.95" customHeight="1">
      <c r="A732" s="5">
        <v>0</v>
      </c>
      <c r="B732" s="6" t="s">
        <v>4631</v>
      </c>
      <c r="C732" s="13">
        <v>910</v>
      </c>
      <c r="D732" s="8" t="s">
        <v>4632</v>
      </c>
      <c r="E732" s="8" t="s">
        <v>4633</v>
      </c>
      <c r="F732" s="8" t="s">
        <v>4634</v>
      </c>
      <c r="G732" s="6" t="s">
        <v>37</v>
      </c>
      <c r="H732" s="6" t="s">
        <v>38</v>
      </c>
      <c r="I732" s="8" t="s">
        <v>39</v>
      </c>
      <c r="J732" s="9">
        <v>1</v>
      </c>
      <c r="K732" s="9">
        <v>202</v>
      </c>
      <c r="L732" s="9">
        <v>2023</v>
      </c>
      <c r="M732" s="8" t="s">
        <v>4635</v>
      </c>
      <c r="N732" s="8" t="s">
        <v>41</v>
      </c>
      <c r="O732" s="8" t="s">
        <v>65</v>
      </c>
      <c r="P732" s="6" t="s">
        <v>43</v>
      </c>
      <c r="Q732" s="8" t="s">
        <v>44</v>
      </c>
      <c r="R732" s="10" t="s">
        <v>4636</v>
      </c>
      <c r="S732" s="11"/>
      <c r="T732" s="6"/>
      <c r="U732" s="28" t="str">
        <f>HYPERLINK("https://media.infra-m.ru/1894/1894766/cover/1894766.jpg", "Обложка")</f>
        <v>Обложка</v>
      </c>
      <c r="V732" s="28" t="str">
        <f>HYPERLINK("https://znanium.ru/catalog/product/1894766", "Ознакомиться")</f>
        <v>Ознакомиться</v>
      </c>
      <c r="W732" s="8" t="s">
        <v>4637</v>
      </c>
      <c r="X732" s="6"/>
      <c r="Y732" s="6"/>
      <c r="Z732" s="6"/>
      <c r="AA732" s="6" t="s">
        <v>290</v>
      </c>
    </row>
    <row r="733" spans="1:27" s="4" customFormat="1" ht="51.95" customHeight="1">
      <c r="A733" s="5">
        <v>0</v>
      </c>
      <c r="B733" s="6" t="s">
        <v>4638</v>
      </c>
      <c r="C733" s="13">
        <v>590</v>
      </c>
      <c r="D733" s="8" t="s">
        <v>4639</v>
      </c>
      <c r="E733" s="8" t="s">
        <v>4640</v>
      </c>
      <c r="F733" s="8" t="s">
        <v>4641</v>
      </c>
      <c r="G733" s="6" t="s">
        <v>123</v>
      </c>
      <c r="H733" s="6" t="s">
        <v>470</v>
      </c>
      <c r="I733" s="8"/>
      <c r="J733" s="9">
        <v>1</v>
      </c>
      <c r="K733" s="9">
        <v>203</v>
      </c>
      <c r="L733" s="9">
        <v>2017</v>
      </c>
      <c r="M733" s="8" t="s">
        <v>4642</v>
      </c>
      <c r="N733" s="8" t="s">
        <v>41</v>
      </c>
      <c r="O733" s="8" t="s">
        <v>65</v>
      </c>
      <c r="P733" s="6" t="s">
        <v>43</v>
      </c>
      <c r="Q733" s="8" t="s">
        <v>1605</v>
      </c>
      <c r="R733" s="10" t="s">
        <v>4643</v>
      </c>
      <c r="S733" s="11"/>
      <c r="T733" s="6"/>
      <c r="U733" s="28" t="str">
        <f>HYPERLINK("https://media.infra-m.ru/0966/0966594/cover/966594.jpg", "Обложка")</f>
        <v>Обложка</v>
      </c>
      <c r="V733" s="28" t="str">
        <f>HYPERLINK("https://znanium.ru/catalog/product/916098", "Ознакомиться")</f>
        <v>Ознакомиться</v>
      </c>
      <c r="W733" s="8" t="s">
        <v>448</v>
      </c>
      <c r="X733" s="6"/>
      <c r="Y733" s="6"/>
      <c r="Z733" s="6"/>
      <c r="AA733" s="6" t="s">
        <v>650</v>
      </c>
    </row>
    <row r="734" spans="1:27" s="4" customFormat="1" ht="51.95" customHeight="1">
      <c r="A734" s="5">
        <v>0</v>
      </c>
      <c r="B734" s="6" t="s">
        <v>4644</v>
      </c>
      <c r="C734" s="7">
        <v>1140</v>
      </c>
      <c r="D734" s="8" t="s">
        <v>4645</v>
      </c>
      <c r="E734" s="8" t="s">
        <v>4646</v>
      </c>
      <c r="F734" s="8" t="s">
        <v>3616</v>
      </c>
      <c r="G734" s="6" t="s">
        <v>83</v>
      </c>
      <c r="H734" s="6" t="s">
        <v>38</v>
      </c>
      <c r="I734" s="8" t="s">
        <v>4647</v>
      </c>
      <c r="J734" s="9">
        <v>1</v>
      </c>
      <c r="K734" s="9">
        <v>323</v>
      </c>
      <c r="L734" s="9">
        <v>2020</v>
      </c>
      <c r="M734" s="8" t="s">
        <v>4648</v>
      </c>
      <c r="N734" s="8" t="s">
        <v>41</v>
      </c>
      <c r="O734" s="8" t="s">
        <v>42</v>
      </c>
      <c r="P734" s="6" t="s">
        <v>43</v>
      </c>
      <c r="Q734" s="8" t="s">
        <v>44</v>
      </c>
      <c r="R734" s="10" t="s">
        <v>4649</v>
      </c>
      <c r="S734" s="11"/>
      <c r="T734" s="6"/>
      <c r="U734" s="28" t="str">
        <f>HYPERLINK("https://media.infra-m.ru/1065/1065214/cover/1065214.jpg", "Обложка")</f>
        <v>Обложка</v>
      </c>
      <c r="V734" s="28" t="str">
        <f>HYPERLINK("https://znanium.ru/catalog/product/1065214", "Ознакомиться")</f>
        <v>Ознакомиться</v>
      </c>
      <c r="W734" s="8" t="s">
        <v>210</v>
      </c>
      <c r="X734" s="6"/>
      <c r="Y734" s="6"/>
      <c r="Z734" s="6"/>
      <c r="AA734" s="6" t="s">
        <v>650</v>
      </c>
    </row>
    <row r="735" spans="1:27" s="4" customFormat="1" ht="42" customHeight="1">
      <c r="A735" s="5">
        <v>0</v>
      </c>
      <c r="B735" s="6" t="s">
        <v>4650</v>
      </c>
      <c r="C735" s="7">
        <v>1624.9</v>
      </c>
      <c r="D735" s="8" t="s">
        <v>4651</v>
      </c>
      <c r="E735" s="8" t="s">
        <v>4652</v>
      </c>
      <c r="F735" s="8" t="s">
        <v>816</v>
      </c>
      <c r="G735" s="6" t="s">
        <v>123</v>
      </c>
      <c r="H735" s="6" t="s">
        <v>38</v>
      </c>
      <c r="I735" s="8" t="s">
        <v>39</v>
      </c>
      <c r="J735" s="9">
        <v>1</v>
      </c>
      <c r="K735" s="9">
        <v>360</v>
      </c>
      <c r="L735" s="9">
        <v>2023</v>
      </c>
      <c r="M735" s="8" t="s">
        <v>4653</v>
      </c>
      <c r="N735" s="8" t="s">
        <v>41</v>
      </c>
      <c r="O735" s="8" t="s">
        <v>65</v>
      </c>
      <c r="P735" s="6" t="s">
        <v>43</v>
      </c>
      <c r="Q735" s="8" t="s">
        <v>44</v>
      </c>
      <c r="R735" s="10" t="s">
        <v>1124</v>
      </c>
      <c r="S735" s="11"/>
      <c r="T735" s="6"/>
      <c r="U735" s="28" t="str">
        <f>HYPERLINK("https://media.infra-m.ru/2030/2030879/cover/2030879.jpg", "Обложка")</f>
        <v>Обложка</v>
      </c>
      <c r="V735" s="28" t="str">
        <f>HYPERLINK("https://znanium.ru/catalog/product/995431", "Ознакомиться")</f>
        <v>Ознакомиться</v>
      </c>
      <c r="W735" s="8" t="s">
        <v>805</v>
      </c>
      <c r="X735" s="6"/>
      <c r="Y735" s="6"/>
      <c r="Z735" s="6"/>
      <c r="AA735" s="6" t="s">
        <v>141</v>
      </c>
    </row>
    <row r="736" spans="1:27" s="4" customFormat="1" ht="51.95" customHeight="1">
      <c r="A736" s="5">
        <v>0</v>
      </c>
      <c r="B736" s="6" t="s">
        <v>4654</v>
      </c>
      <c r="C736" s="7">
        <v>1800</v>
      </c>
      <c r="D736" s="8" t="s">
        <v>4655</v>
      </c>
      <c r="E736" s="8" t="s">
        <v>4656</v>
      </c>
      <c r="F736" s="8" t="s">
        <v>2325</v>
      </c>
      <c r="G736" s="6" t="s">
        <v>83</v>
      </c>
      <c r="H736" s="6" t="s">
        <v>618</v>
      </c>
      <c r="I736" s="8"/>
      <c r="J736" s="9">
        <v>1</v>
      </c>
      <c r="K736" s="9">
        <v>384</v>
      </c>
      <c r="L736" s="9">
        <v>2024</v>
      </c>
      <c r="M736" s="8" t="s">
        <v>4657</v>
      </c>
      <c r="N736" s="8" t="s">
        <v>41</v>
      </c>
      <c r="O736" s="8" t="s">
        <v>65</v>
      </c>
      <c r="P736" s="6" t="s">
        <v>176</v>
      </c>
      <c r="Q736" s="8" t="s">
        <v>56</v>
      </c>
      <c r="R736" s="10" t="s">
        <v>4658</v>
      </c>
      <c r="S736" s="11"/>
      <c r="T736" s="6"/>
      <c r="U736" s="28" t="str">
        <f>HYPERLINK("https://media.infra-m.ru/2110/2110910/cover/2110910.jpg", "Обложка")</f>
        <v>Обложка</v>
      </c>
      <c r="V736" s="28" t="str">
        <f>HYPERLINK("https://znanium.ru/catalog/product/2110910", "Ознакомиться")</f>
        <v>Ознакомиться</v>
      </c>
      <c r="W736" s="8" t="s">
        <v>363</v>
      </c>
      <c r="X736" s="6"/>
      <c r="Y736" s="6"/>
      <c r="Z736" s="6"/>
      <c r="AA736" s="6" t="s">
        <v>747</v>
      </c>
    </row>
    <row r="737" spans="1:27" s="4" customFormat="1" ht="51.95" customHeight="1">
      <c r="A737" s="5">
        <v>0</v>
      </c>
      <c r="B737" s="6" t="s">
        <v>4659</v>
      </c>
      <c r="C737" s="7">
        <v>1700</v>
      </c>
      <c r="D737" s="8" t="s">
        <v>4660</v>
      </c>
      <c r="E737" s="8" t="s">
        <v>4661</v>
      </c>
      <c r="F737" s="8" t="s">
        <v>2708</v>
      </c>
      <c r="G737" s="6" t="s">
        <v>83</v>
      </c>
      <c r="H737" s="6" t="s">
        <v>38</v>
      </c>
      <c r="I737" s="8" t="s">
        <v>164</v>
      </c>
      <c r="J737" s="9">
        <v>1</v>
      </c>
      <c r="K737" s="9">
        <v>403</v>
      </c>
      <c r="L737" s="9">
        <v>2022</v>
      </c>
      <c r="M737" s="8" t="s">
        <v>4662</v>
      </c>
      <c r="N737" s="8" t="s">
        <v>41</v>
      </c>
      <c r="O737" s="8" t="s">
        <v>65</v>
      </c>
      <c r="P737" s="6" t="s">
        <v>55</v>
      </c>
      <c r="Q737" s="8" t="s">
        <v>56</v>
      </c>
      <c r="R737" s="10" t="s">
        <v>2231</v>
      </c>
      <c r="S737" s="11" t="s">
        <v>4663</v>
      </c>
      <c r="T737" s="6"/>
      <c r="U737" s="28" t="str">
        <f>HYPERLINK("https://media.infra-m.ru/1011/1011084/cover/1011084.jpg", "Обложка")</f>
        <v>Обложка</v>
      </c>
      <c r="V737" s="28" t="str">
        <f>HYPERLINK("https://znanium.ru/catalog/product/1011084", "Ознакомиться")</f>
        <v>Ознакомиться</v>
      </c>
      <c r="W737" s="8" t="s">
        <v>2712</v>
      </c>
      <c r="X737" s="6"/>
      <c r="Y737" s="6"/>
      <c r="Z737" s="6"/>
      <c r="AA737" s="6" t="s">
        <v>2321</v>
      </c>
    </row>
    <row r="738" spans="1:27" s="4" customFormat="1" ht="51.95" customHeight="1">
      <c r="A738" s="5">
        <v>0</v>
      </c>
      <c r="B738" s="6" t="s">
        <v>4664</v>
      </c>
      <c r="C738" s="7">
        <v>1384.9</v>
      </c>
      <c r="D738" s="8" t="s">
        <v>4665</v>
      </c>
      <c r="E738" s="8" t="s">
        <v>4666</v>
      </c>
      <c r="F738" s="8" t="s">
        <v>4162</v>
      </c>
      <c r="G738" s="6" t="s">
        <v>123</v>
      </c>
      <c r="H738" s="6" t="s">
        <v>1701</v>
      </c>
      <c r="I738" s="8" t="s">
        <v>155</v>
      </c>
      <c r="J738" s="9">
        <v>1</v>
      </c>
      <c r="K738" s="9">
        <v>432</v>
      </c>
      <c r="L738" s="9">
        <v>2019</v>
      </c>
      <c r="M738" s="8" t="s">
        <v>4667</v>
      </c>
      <c r="N738" s="8" t="s">
        <v>41</v>
      </c>
      <c r="O738" s="8" t="s">
        <v>65</v>
      </c>
      <c r="P738" s="6" t="s">
        <v>55</v>
      </c>
      <c r="Q738" s="8" t="s">
        <v>56</v>
      </c>
      <c r="R738" s="10" t="s">
        <v>2231</v>
      </c>
      <c r="S738" s="11" t="s">
        <v>4668</v>
      </c>
      <c r="T738" s="6"/>
      <c r="U738" s="28" t="str">
        <f>HYPERLINK("https://media.infra-m.ru/0987/0987920/cover/987920.jpg", "Обложка")</f>
        <v>Обложка</v>
      </c>
      <c r="V738" s="28" t="str">
        <f>HYPERLINK("https://znanium.ru/catalog/product/1011084", "Ознакомиться")</f>
        <v>Ознакомиться</v>
      </c>
      <c r="W738" s="8" t="s">
        <v>2712</v>
      </c>
      <c r="X738" s="6"/>
      <c r="Y738" s="6"/>
      <c r="Z738" s="6"/>
      <c r="AA738" s="6" t="s">
        <v>826</v>
      </c>
    </row>
    <row r="739" spans="1:27" s="4" customFormat="1" ht="51.95" customHeight="1">
      <c r="A739" s="5">
        <v>0</v>
      </c>
      <c r="B739" s="6" t="s">
        <v>4669</v>
      </c>
      <c r="C739" s="13">
        <v>760</v>
      </c>
      <c r="D739" s="8" t="s">
        <v>4670</v>
      </c>
      <c r="E739" s="8" t="s">
        <v>4671</v>
      </c>
      <c r="F739" s="8" t="s">
        <v>2229</v>
      </c>
      <c r="G739" s="6" t="s">
        <v>83</v>
      </c>
      <c r="H739" s="6" t="s">
        <v>38</v>
      </c>
      <c r="I739" s="8" t="s">
        <v>39</v>
      </c>
      <c r="J739" s="9">
        <v>1</v>
      </c>
      <c r="K739" s="9">
        <v>221</v>
      </c>
      <c r="L739" s="9">
        <v>2020</v>
      </c>
      <c r="M739" s="8" t="s">
        <v>4672</v>
      </c>
      <c r="N739" s="8" t="s">
        <v>41</v>
      </c>
      <c r="O739" s="8" t="s">
        <v>65</v>
      </c>
      <c r="P739" s="6" t="s">
        <v>43</v>
      </c>
      <c r="Q739" s="8" t="s">
        <v>44</v>
      </c>
      <c r="R739" s="10" t="s">
        <v>4673</v>
      </c>
      <c r="S739" s="11"/>
      <c r="T739" s="6" t="s">
        <v>190</v>
      </c>
      <c r="U739" s="28" t="str">
        <f>HYPERLINK("https://media.infra-m.ru/1036/1036573/cover/1036573.jpg", "Обложка")</f>
        <v>Обложка</v>
      </c>
      <c r="V739" s="28" t="str">
        <f>HYPERLINK("https://znanium.ru/catalog/product/1861578", "Ознакомиться")</f>
        <v>Ознакомиться</v>
      </c>
      <c r="W739" s="8" t="s">
        <v>2060</v>
      </c>
      <c r="X739" s="6"/>
      <c r="Y739" s="6"/>
      <c r="Z739" s="6"/>
      <c r="AA739" s="6" t="s">
        <v>650</v>
      </c>
    </row>
    <row r="740" spans="1:27" s="4" customFormat="1" ht="51.95" customHeight="1">
      <c r="A740" s="5">
        <v>0</v>
      </c>
      <c r="B740" s="6" t="s">
        <v>4674</v>
      </c>
      <c r="C740" s="7">
        <v>1770</v>
      </c>
      <c r="D740" s="8" t="s">
        <v>4675</v>
      </c>
      <c r="E740" s="8" t="s">
        <v>4676</v>
      </c>
      <c r="F740" s="8" t="s">
        <v>1102</v>
      </c>
      <c r="G740" s="6" t="s">
        <v>123</v>
      </c>
      <c r="H740" s="6" t="s">
        <v>38</v>
      </c>
      <c r="I740" s="8" t="s">
        <v>39</v>
      </c>
      <c r="J740" s="9">
        <v>1</v>
      </c>
      <c r="K740" s="9">
        <v>380</v>
      </c>
      <c r="L740" s="9">
        <v>2023</v>
      </c>
      <c r="M740" s="8" t="s">
        <v>4677</v>
      </c>
      <c r="N740" s="8" t="s">
        <v>41</v>
      </c>
      <c r="O740" s="8" t="s">
        <v>65</v>
      </c>
      <c r="P740" s="6" t="s">
        <v>43</v>
      </c>
      <c r="Q740" s="8" t="s">
        <v>44</v>
      </c>
      <c r="R740" s="10" t="s">
        <v>4678</v>
      </c>
      <c r="S740" s="11"/>
      <c r="T740" s="6"/>
      <c r="U740" s="28" t="str">
        <f>HYPERLINK("https://media.infra-m.ru/2009/2009681/cover/2009681.jpg", "Обложка")</f>
        <v>Обложка</v>
      </c>
      <c r="V740" s="28" t="str">
        <f>HYPERLINK("https://znanium.ru/catalog/product/2009681", "Ознакомиться")</f>
        <v>Ознакомиться</v>
      </c>
      <c r="W740" s="8" t="s">
        <v>1105</v>
      </c>
      <c r="X740" s="6" t="s">
        <v>1997</v>
      </c>
      <c r="Y740" s="6"/>
      <c r="Z740" s="6"/>
      <c r="AA740" s="6" t="s">
        <v>111</v>
      </c>
    </row>
    <row r="741" spans="1:27" s="4" customFormat="1" ht="51.95" customHeight="1">
      <c r="A741" s="5">
        <v>0</v>
      </c>
      <c r="B741" s="6" t="s">
        <v>4679</v>
      </c>
      <c r="C741" s="7">
        <v>1514.9</v>
      </c>
      <c r="D741" s="8" t="s">
        <v>4680</v>
      </c>
      <c r="E741" s="8" t="s">
        <v>4681</v>
      </c>
      <c r="F741" s="8" t="s">
        <v>4162</v>
      </c>
      <c r="G741" s="6" t="s">
        <v>123</v>
      </c>
      <c r="H741" s="6" t="s">
        <v>1701</v>
      </c>
      <c r="I741" s="8" t="s">
        <v>155</v>
      </c>
      <c r="J741" s="9">
        <v>1</v>
      </c>
      <c r="K741" s="9">
        <v>336</v>
      </c>
      <c r="L741" s="9">
        <v>2023</v>
      </c>
      <c r="M741" s="8" t="s">
        <v>4682</v>
      </c>
      <c r="N741" s="8" t="s">
        <v>41</v>
      </c>
      <c r="O741" s="8" t="s">
        <v>65</v>
      </c>
      <c r="P741" s="6" t="s">
        <v>55</v>
      </c>
      <c r="Q741" s="8" t="s">
        <v>56</v>
      </c>
      <c r="R741" s="10" t="s">
        <v>4683</v>
      </c>
      <c r="S741" s="11"/>
      <c r="T741" s="6"/>
      <c r="U741" s="28" t="str">
        <f>HYPERLINK("https://media.infra-m.ru/1981/1981724/cover/1981724.jpg", "Обложка")</f>
        <v>Обложка</v>
      </c>
      <c r="V741" s="28" t="str">
        <f>HYPERLINK("https://znanium.ru/catalog/product/1176851", "Ознакомиться")</f>
        <v>Ознакомиться</v>
      </c>
      <c r="W741" s="8" t="s">
        <v>2712</v>
      </c>
      <c r="X741" s="6"/>
      <c r="Y741" s="6"/>
      <c r="Z741" s="6"/>
      <c r="AA741" s="6" t="s">
        <v>47</v>
      </c>
    </row>
    <row r="742" spans="1:27" s="4" customFormat="1" ht="51.95" customHeight="1">
      <c r="A742" s="5">
        <v>0</v>
      </c>
      <c r="B742" s="6" t="s">
        <v>4684</v>
      </c>
      <c r="C742" s="7">
        <v>2890</v>
      </c>
      <c r="D742" s="8" t="s">
        <v>4685</v>
      </c>
      <c r="E742" s="8" t="s">
        <v>4686</v>
      </c>
      <c r="F742" s="8" t="s">
        <v>1246</v>
      </c>
      <c r="G742" s="6" t="s">
        <v>123</v>
      </c>
      <c r="H742" s="6" t="s">
        <v>38</v>
      </c>
      <c r="I742" s="8" t="s">
        <v>164</v>
      </c>
      <c r="J742" s="9">
        <v>1</v>
      </c>
      <c r="K742" s="9">
        <v>659</v>
      </c>
      <c r="L742" s="9">
        <v>2023</v>
      </c>
      <c r="M742" s="8" t="s">
        <v>4687</v>
      </c>
      <c r="N742" s="8" t="s">
        <v>41</v>
      </c>
      <c r="O742" s="8" t="s">
        <v>65</v>
      </c>
      <c r="P742" s="6" t="s">
        <v>176</v>
      </c>
      <c r="Q742" s="8" t="s">
        <v>56</v>
      </c>
      <c r="R742" s="10" t="s">
        <v>4688</v>
      </c>
      <c r="S742" s="11" t="s">
        <v>4689</v>
      </c>
      <c r="T742" s="6"/>
      <c r="U742" s="28" t="str">
        <f>HYPERLINK("https://media.infra-m.ru/1870/1870568/cover/1870568.jpg", "Обложка")</f>
        <v>Обложка</v>
      </c>
      <c r="V742" s="28" t="str">
        <f>HYPERLINK("https://znanium.ru/catalog/product/1870568", "Ознакомиться")</f>
        <v>Ознакомиться</v>
      </c>
      <c r="W742" s="8" t="s">
        <v>363</v>
      </c>
      <c r="X742" s="6"/>
      <c r="Y742" s="6"/>
      <c r="Z742" s="6"/>
      <c r="AA742" s="6" t="s">
        <v>103</v>
      </c>
    </row>
    <row r="743" spans="1:27" s="4" customFormat="1" ht="42" customHeight="1">
      <c r="A743" s="5">
        <v>0</v>
      </c>
      <c r="B743" s="6" t="s">
        <v>4690</v>
      </c>
      <c r="C743" s="7">
        <v>1460</v>
      </c>
      <c r="D743" s="8" t="s">
        <v>4691</v>
      </c>
      <c r="E743" s="8" t="s">
        <v>4692</v>
      </c>
      <c r="F743" s="8" t="s">
        <v>1320</v>
      </c>
      <c r="G743" s="6" t="s">
        <v>37</v>
      </c>
      <c r="H743" s="6" t="s">
        <v>38</v>
      </c>
      <c r="I743" s="8" t="s">
        <v>39</v>
      </c>
      <c r="J743" s="9">
        <v>1</v>
      </c>
      <c r="K743" s="9">
        <v>318</v>
      </c>
      <c r="L743" s="9">
        <v>2024</v>
      </c>
      <c r="M743" s="8" t="s">
        <v>4693</v>
      </c>
      <c r="N743" s="8" t="s">
        <v>41</v>
      </c>
      <c r="O743" s="8" t="s">
        <v>65</v>
      </c>
      <c r="P743" s="6" t="s">
        <v>3895</v>
      </c>
      <c r="Q743" s="8" t="s">
        <v>44</v>
      </c>
      <c r="R743" s="10" t="s">
        <v>1131</v>
      </c>
      <c r="S743" s="11"/>
      <c r="T743" s="6"/>
      <c r="U743" s="28" t="str">
        <f>HYPERLINK("https://media.infra-m.ru/2094/2094519/cover/2094519.jpg", "Обложка")</f>
        <v>Обложка</v>
      </c>
      <c r="V743" s="28" t="str">
        <f>HYPERLINK("https://znanium.ru/catalog/product/2094519", "Ознакомиться")</f>
        <v>Ознакомиться</v>
      </c>
      <c r="W743" s="8" t="s">
        <v>1028</v>
      </c>
      <c r="X743" s="6"/>
      <c r="Y743" s="6"/>
      <c r="Z743" s="6"/>
      <c r="AA743" s="6" t="s">
        <v>381</v>
      </c>
    </row>
    <row r="744" spans="1:27" s="4" customFormat="1" ht="51.95" customHeight="1">
      <c r="A744" s="5">
        <v>0</v>
      </c>
      <c r="B744" s="6" t="s">
        <v>4694</v>
      </c>
      <c r="C744" s="13">
        <v>460</v>
      </c>
      <c r="D744" s="8" t="s">
        <v>4695</v>
      </c>
      <c r="E744" s="8" t="s">
        <v>4696</v>
      </c>
      <c r="F744" s="8" t="s">
        <v>4697</v>
      </c>
      <c r="G744" s="6" t="s">
        <v>37</v>
      </c>
      <c r="H744" s="6" t="s">
        <v>38</v>
      </c>
      <c r="I744" s="8" t="s">
        <v>155</v>
      </c>
      <c r="J744" s="9">
        <v>1</v>
      </c>
      <c r="K744" s="9">
        <v>98</v>
      </c>
      <c r="L744" s="9">
        <v>2024</v>
      </c>
      <c r="M744" s="8" t="s">
        <v>4698</v>
      </c>
      <c r="N744" s="8" t="s">
        <v>41</v>
      </c>
      <c r="O744" s="8" t="s">
        <v>65</v>
      </c>
      <c r="P744" s="6" t="s">
        <v>55</v>
      </c>
      <c r="Q744" s="8" t="s">
        <v>177</v>
      </c>
      <c r="R744" s="10" t="s">
        <v>4699</v>
      </c>
      <c r="S744" s="11"/>
      <c r="T744" s="6"/>
      <c r="U744" s="28" t="str">
        <f>HYPERLINK("https://media.infra-m.ru/2084/2084489/cover/2084489.jpg", "Обложка")</f>
        <v>Обложка</v>
      </c>
      <c r="V744" s="28" t="str">
        <f>HYPERLINK("https://znanium.ru/catalog/product/2084489", "Ознакомиться")</f>
        <v>Ознакомиться</v>
      </c>
      <c r="W744" s="8" t="s">
        <v>4060</v>
      </c>
      <c r="X744" s="6"/>
      <c r="Y744" s="6"/>
      <c r="Z744" s="6"/>
      <c r="AA744" s="6" t="s">
        <v>650</v>
      </c>
    </row>
    <row r="745" spans="1:27" s="4" customFormat="1" ht="51.95" customHeight="1">
      <c r="A745" s="5">
        <v>0</v>
      </c>
      <c r="B745" s="6" t="s">
        <v>4700</v>
      </c>
      <c r="C745" s="13">
        <v>960</v>
      </c>
      <c r="D745" s="8" t="s">
        <v>4701</v>
      </c>
      <c r="E745" s="8" t="s">
        <v>4702</v>
      </c>
      <c r="F745" s="8" t="s">
        <v>4703</v>
      </c>
      <c r="G745" s="6" t="s">
        <v>83</v>
      </c>
      <c r="H745" s="6" t="s">
        <v>38</v>
      </c>
      <c r="I745" s="8" t="s">
        <v>553</v>
      </c>
      <c r="J745" s="9">
        <v>1</v>
      </c>
      <c r="K745" s="9">
        <v>208</v>
      </c>
      <c r="L745" s="9">
        <v>2024</v>
      </c>
      <c r="M745" s="8" t="s">
        <v>4704</v>
      </c>
      <c r="N745" s="8" t="s">
        <v>41</v>
      </c>
      <c r="O745" s="8" t="s">
        <v>65</v>
      </c>
      <c r="P745" s="6" t="s">
        <v>55</v>
      </c>
      <c r="Q745" s="8" t="s">
        <v>56</v>
      </c>
      <c r="R745" s="10" t="s">
        <v>4705</v>
      </c>
      <c r="S745" s="11" t="s">
        <v>4706</v>
      </c>
      <c r="T745" s="6"/>
      <c r="U745" s="28" t="str">
        <f>HYPERLINK("https://media.infra-m.ru/2110/2110939/cover/2110939.jpg", "Обложка")</f>
        <v>Обложка</v>
      </c>
      <c r="V745" s="28" t="str">
        <f>HYPERLINK("https://znanium.ru/catalog/product/2110939", "Ознакомиться")</f>
        <v>Ознакомиться</v>
      </c>
      <c r="W745" s="8" t="s">
        <v>557</v>
      </c>
      <c r="X745" s="6"/>
      <c r="Y745" s="6"/>
      <c r="Z745" s="6"/>
      <c r="AA745" s="6" t="s">
        <v>141</v>
      </c>
    </row>
    <row r="746" spans="1:27" s="4" customFormat="1" ht="51.95" customHeight="1">
      <c r="A746" s="5">
        <v>0</v>
      </c>
      <c r="B746" s="6" t="s">
        <v>4707</v>
      </c>
      <c r="C746" s="7">
        <v>1254</v>
      </c>
      <c r="D746" s="8" t="s">
        <v>4708</v>
      </c>
      <c r="E746" s="8" t="s">
        <v>4709</v>
      </c>
      <c r="F746" s="8" t="s">
        <v>3721</v>
      </c>
      <c r="G746" s="6" t="s">
        <v>37</v>
      </c>
      <c r="H746" s="6" t="s">
        <v>618</v>
      </c>
      <c r="I746" s="8"/>
      <c r="J746" s="9">
        <v>1</v>
      </c>
      <c r="K746" s="9">
        <v>272</v>
      </c>
      <c r="L746" s="9">
        <v>2023</v>
      </c>
      <c r="M746" s="8" t="s">
        <v>4710</v>
      </c>
      <c r="N746" s="8" t="s">
        <v>41</v>
      </c>
      <c r="O746" s="8" t="s">
        <v>65</v>
      </c>
      <c r="P746" s="6" t="s">
        <v>43</v>
      </c>
      <c r="Q746" s="8" t="s">
        <v>44</v>
      </c>
      <c r="R746" s="10" t="s">
        <v>2245</v>
      </c>
      <c r="S746" s="11"/>
      <c r="T746" s="6"/>
      <c r="U746" s="28" t="str">
        <f>HYPERLINK("https://media.infra-m.ru/1893/1893907/cover/1893907.jpg", "Обложка")</f>
        <v>Обложка</v>
      </c>
      <c r="V746" s="28" t="str">
        <f>HYPERLINK("https://znanium.ru/catalog/product/1081977", "Ознакомиться")</f>
        <v>Ознакомиться</v>
      </c>
      <c r="W746" s="8" t="s">
        <v>416</v>
      </c>
      <c r="X746" s="6"/>
      <c r="Y746" s="6"/>
      <c r="Z746" s="6"/>
      <c r="AA746" s="6" t="s">
        <v>1217</v>
      </c>
    </row>
    <row r="747" spans="1:27" s="4" customFormat="1" ht="51.95" customHeight="1">
      <c r="A747" s="5">
        <v>0</v>
      </c>
      <c r="B747" s="6" t="s">
        <v>4711</v>
      </c>
      <c r="C747" s="7">
        <v>2394</v>
      </c>
      <c r="D747" s="8" t="s">
        <v>4712</v>
      </c>
      <c r="E747" s="8" t="s">
        <v>4713</v>
      </c>
      <c r="F747" s="8" t="s">
        <v>3616</v>
      </c>
      <c r="G747" s="6" t="s">
        <v>83</v>
      </c>
      <c r="H747" s="6" t="s">
        <v>38</v>
      </c>
      <c r="I747" s="8" t="s">
        <v>4647</v>
      </c>
      <c r="J747" s="9">
        <v>1</v>
      </c>
      <c r="K747" s="9">
        <v>555</v>
      </c>
      <c r="L747" s="9">
        <v>2023</v>
      </c>
      <c r="M747" s="8" t="s">
        <v>4714</v>
      </c>
      <c r="N747" s="8" t="s">
        <v>41</v>
      </c>
      <c r="O747" s="8" t="s">
        <v>42</v>
      </c>
      <c r="P747" s="6" t="s">
        <v>43</v>
      </c>
      <c r="Q747" s="8" t="s">
        <v>44</v>
      </c>
      <c r="R747" s="10" t="s">
        <v>4715</v>
      </c>
      <c r="S747" s="11"/>
      <c r="T747" s="6"/>
      <c r="U747" s="28" t="str">
        <f>HYPERLINK("https://media.infra-m.ru/1964/1964964/cover/1964964.jpg", "Обложка")</f>
        <v>Обложка</v>
      </c>
      <c r="V747" s="28" t="str">
        <f>HYPERLINK("https://znanium.ru/catalog/product/1964964", "Ознакомиться")</f>
        <v>Ознакомиться</v>
      </c>
      <c r="W747" s="8" t="s">
        <v>210</v>
      </c>
      <c r="X747" s="6"/>
      <c r="Y747" s="6"/>
      <c r="Z747" s="6"/>
      <c r="AA747" s="6" t="s">
        <v>141</v>
      </c>
    </row>
    <row r="748" spans="1:27" s="4" customFormat="1" ht="51.95" customHeight="1">
      <c r="A748" s="5">
        <v>0</v>
      </c>
      <c r="B748" s="6" t="s">
        <v>4716</v>
      </c>
      <c r="C748" s="13">
        <v>734</v>
      </c>
      <c r="D748" s="8" t="s">
        <v>4717</v>
      </c>
      <c r="E748" s="8" t="s">
        <v>4718</v>
      </c>
      <c r="F748" s="8" t="s">
        <v>4719</v>
      </c>
      <c r="G748" s="6" t="s">
        <v>37</v>
      </c>
      <c r="H748" s="6" t="s">
        <v>38</v>
      </c>
      <c r="I748" s="8" t="s">
        <v>39</v>
      </c>
      <c r="J748" s="9">
        <v>1</v>
      </c>
      <c r="K748" s="9">
        <v>155</v>
      </c>
      <c r="L748" s="9">
        <v>2023</v>
      </c>
      <c r="M748" s="8" t="s">
        <v>4720</v>
      </c>
      <c r="N748" s="8" t="s">
        <v>74</v>
      </c>
      <c r="O748" s="8" t="s">
        <v>75</v>
      </c>
      <c r="P748" s="6" t="s">
        <v>43</v>
      </c>
      <c r="Q748" s="8" t="s">
        <v>44</v>
      </c>
      <c r="R748" s="10" t="s">
        <v>4721</v>
      </c>
      <c r="S748" s="11"/>
      <c r="T748" s="6"/>
      <c r="U748" s="28" t="str">
        <f>HYPERLINK("https://media.infra-m.ru/2131/2131622/cover/2131622.jpg", "Обложка")</f>
        <v>Обложка</v>
      </c>
      <c r="V748" s="28" t="str">
        <f>HYPERLINK("https://znanium.ru/catalog/product/1920305", "Ознакомиться")</f>
        <v>Ознакомиться</v>
      </c>
      <c r="W748" s="8" t="s">
        <v>962</v>
      </c>
      <c r="X748" s="6"/>
      <c r="Y748" s="6"/>
      <c r="Z748" s="6"/>
      <c r="AA748" s="6" t="s">
        <v>880</v>
      </c>
    </row>
    <row r="749" spans="1:27" s="4" customFormat="1" ht="51.95" customHeight="1">
      <c r="A749" s="5">
        <v>0</v>
      </c>
      <c r="B749" s="6" t="s">
        <v>4722</v>
      </c>
      <c r="C749" s="13">
        <v>410</v>
      </c>
      <c r="D749" s="8" t="s">
        <v>4723</v>
      </c>
      <c r="E749" s="8" t="s">
        <v>4724</v>
      </c>
      <c r="F749" s="8" t="s">
        <v>4725</v>
      </c>
      <c r="G749" s="6" t="s">
        <v>37</v>
      </c>
      <c r="H749" s="6" t="s">
        <v>38</v>
      </c>
      <c r="I749" s="8" t="s">
        <v>39</v>
      </c>
      <c r="J749" s="9">
        <v>1</v>
      </c>
      <c r="K749" s="9">
        <v>90</v>
      </c>
      <c r="L749" s="9">
        <v>2022</v>
      </c>
      <c r="M749" s="8" t="s">
        <v>4726</v>
      </c>
      <c r="N749" s="8" t="s">
        <v>74</v>
      </c>
      <c r="O749" s="8" t="s">
        <v>75</v>
      </c>
      <c r="P749" s="6" t="s">
        <v>43</v>
      </c>
      <c r="Q749" s="8" t="s">
        <v>44</v>
      </c>
      <c r="R749" s="10" t="s">
        <v>4721</v>
      </c>
      <c r="S749" s="11"/>
      <c r="T749" s="6"/>
      <c r="U749" s="28" t="str">
        <f>HYPERLINK("https://media.infra-m.ru/1862/1862650/cover/1862650.jpg", "Обложка")</f>
        <v>Обложка</v>
      </c>
      <c r="V749" s="28" t="str">
        <f>HYPERLINK("https://znanium.ru/catalog/product/1920305", "Ознакомиться")</f>
        <v>Ознакомиться</v>
      </c>
      <c r="W749" s="8" t="s">
        <v>962</v>
      </c>
      <c r="X749" s="6"/>
      <c r="Y749" s="6"/>
      <c r="Z749" s="6"/>
      <c r="AA749" s="6" t="s">
        <v>47</v>
      </c>
    </row>
    <row r="750" spans="1:27" s="4" customFormat="1" ht="42" customHeight="1">
      <c r="A750" s="5">
        <v>0</v>
      </c>
      <c r="B750" s="6" t="s">
        <v>4727</v>
      </c>
      <c r="C750" s="13">
        <v>770</v>
      </c>
      <c r="D750" s="8" t="s">
        <v>4728</v>
      </c>
      <c r="E750" s="8" t="s">
        <v>4729</v>
      </c>
      <c r="F750" s="8" t="s">
        <v>4730</v>
      </c>
      <c r="G750" s="6" t="s">
        <v>37</v>
      </c>
      <c r="H750" s="6" t="s">
        <v>38</v>
      </c>
      <c r="I750" s="8" t="s">
        <v>39</v>
      </c>
      <c r="J750" s="9">
        <v>1</v>
      </c>
      <c r="K750" s="9">
        <v>177</v>
      </c>
      <c r="L750" s="9">
        <v>2022</v>
      </c>
      <c r="M750" s="8" t="s">
        <v>4731</v>
      </c>
      <c r="N750" s="8" t="s">
        <v>41</v>
      </c>
      <c r="O750" s="8" t="s">
        <v>65</v>
      </c>
      <c r="P750" s="6" t="s">
        <v>43</v>
      </c>
      <c r="Q750" s="8" t="s">
        <v>44</v>
      </c>
      <c r="R750" s="10" t="s">
        <v>1131</v>
      </c>
      <c r="S750" s="11"/>
      <c r="T750" s="6"/>
      <c r="U750" s="28" t="str">
        <f>HYPERLINK("https://media.infra-m.ru/1868/1868933/cover/1868933.jpg", "Обложка")</f>
        <v>Обложка</v>
      </c>
      <c r="V750" s="28" t="str">
        <f>HYPERLINK("https://znanium.ru/catalog/product/1868933", "Ознакомиться")</f>
        <v>Ознакомиться</v>
      </c>
      <c r="W750" s="8" t="s">
        <v>273</v>
      </c>
      <c r="X750" s="6"/>
      <c r="Y750" s="6"/>
      <c r="Z750" s="6"/>
      <c r="AA750" s="6" t="s">
        <v>103</v>
      </c>
    </row>
    <row r="751" spans="1:27" s="4" customFormat="1" ht="51.95" customHeight="1">
      <c r="A751" s="5">
        <v>0</v>
      </c>
      <c r="B751" s="6" t="s">
        <v>4732</v>
      </c>
      <c r="C751" s="13">
        <v>964</v>
      </c>
      <c r="D751" s="8" t="s">
        <v>4733</v>
      </c>
      <c r="E751" s="8" t="s">
        <v>4734</v>
      </c>
      <c r="F751" s="8" t="s">
        <v>4735</v>
      </c>
      <c r="G751" s="6" t="s">
        <v>83</v>
      </c>
      <c r="H751" s="6" t="s">
        <v>38</v>
      </c>
      <c r="I751" s="8" t="s">
        <v>164</v>
      </c>
      <c r="J751" s="9">
        <v>1</v>
      </c>
      <c r="K751" s="9">
        <v>209</v>
      </c>
      <c r="L751" s="9">
        <v>2024</v>
      </c>
      <c r="M751" s="8" t="s">
        <v>4736</v>
      </c>
      <c r="N751" s="8" t="s">
        <v>41</v>
      </c>
      <c r="O751" s="8" t="s">
        <v>65</v>
      </c>
      <c r="P751" s="6" t="s">
        <v>55</v>
      </c>
      <c r="Q751" s="8" t="s">
        <v>56</v>
      </c>
      <c r="R751" s="10" t="s">
        <v>4737</v>
      </c>
      <c r="S751" s="11" t="s">
        <v>4738</v>
      </c>
      <c r="T751" s="6"/>
      <c r="U751" s="28" t="str">
        <f>HYPERLINK("https://media.infra-m.ru/2002/2002595/cover/2002595.jpg", "Обложка")</f>
        <v>Обложка</v>
      </c>
      <c r="V751" s="28" t="str">
        <f>HYPERLINK("https://znanium.ru/catalog/product/988358", "Ознакомиться")</f>
        <v>Ознакомиться</v>
      </c>
      <c r="W751" s="8" t="s">
        <v>297</v>
      </c>
      <c r="X751" s="6"/>
      <c r="Y751" s="6"/>
      <c r="Z751" s="6"/>
      <c r="AA751" s="6" t="s">
        <v>650</v>
      </c>
    </row>
    <row r="752" spans="1:27" s="4" customFormat="1" ht="42" customHeight="1">
      <c r="A752" s="5">
        <v>0</v>
      </c>
      <c r="B752" s="6" t="s">
        <v>4739</v>
      </c>
      <c r="C752" s="7">
        <v>1260</v>
      </c>
      <c r="D752" s="8" t="s">
        <v>4740</v>
      </c>
      <c r="E752" s="8" t="s">
        <v>4741</v>
      </c>
      <c r="F752" s="8" t="s">
        <v>4742</v>
      </c>
      <c r="G752" s="6" t="s">
        <v>83</v>
      </c>
      <c r="H752" s="6" t="s">
        <v>317</v>
      </c>
      <c r="I752" s="8" t="s">
        <v>164</v>
      </c>
      <c r="J752" s="9">
        <v>1</v>
      </c>
      <c r="K752" s="9">
        <v>274</v>
      </c>
      <c r="L752" s="9">
        <v>2024</v>
      </c>
      <c r="M752" s="8" t="s">
        <v>4743</v>
      </c>
      <c r="N752" s="8" t="s">
        <v>41</v>
      </c>
      <c r="O752" s="8" t="s">
        <v>65</v>
      </c>
      <c r="P752" s="6" t="s">
        <v>55</v>
      </c>
      <c r="Q752" s="8" t="s">
        <v>56</v>
      </c>
      <c r="R752" s="10" t="s">
        <v>4744</v>
      </c>
      <c r="S752" s="11"/>
      <c r="T752" s="6"/>
      <c r="U752" s="28" t="str">
        <f>HYPERLINK("https://media.infra-m.ru/2129/2129568/cover/2129568.jpg", "Обложка")</f>
        <v>Обложка</v>
      </c>
      <c r="V752" s="28" t="str">
        <f>HYPERLINK("https://znanium.ru/catalog/product/2129568", "Ознакомиться")</f>
        <v>Ознакомиться</v>
      </c>
      <c r="W752" s="8"/>
      <c r="X752" s="6"/>
      <c r="Y752" s="6"/>
      <c r="Z752" s="6"/>
      <c r="AA752" s="6" t="s">
        <v>68</v>
      </c>
    </row>
    <row r="753" spans="1:27" s="4" customFormat="1" ht="51.95" customHeight="1">
      <c r="A753" s="5">
        <v>0</v>
      </c>
      <c r="B753" s="6" t="s">
        <v>4745</v>
      </c>
      <c r="C753" s="7">
        <v>1320</v>
      </c>
      <c r="D753" s="8" t="s">
        <v>4746</v>
      </c>
      <c r="E753" s="8" t="s">
        <v>4747</v>
      </c>
      <c r="F753" s="8" t="s">
        <v>4748</v>
      </c>
      <c r="G753" s="6" t="s">
        <v>83</v>
      </c>
      <c r="H753" s="6" t="s">
        <v>317</v>
      </c>
      <c r="I753" s="8" t="s">
        <v>155</v>
      </c>
      <c r="J753" s="9">
        <v>1</v>
      </c>
      <c r="K753" s="9">
        <v>288</v>
      </c>
      <c r="L753" s="9">
        <v>2024</v>
      </c>
      <c r="M753" s="8" t="s">
        <v>4749</v>
      </c>
      <c r="N753" s="8" t="s">
        <v>41</v>
      </c>
      <c r="O753" s="8" t="s">
        <v>65</v>
      </c>
      <c r="P753" s="6" t="s">
        <v>176</v>
      </c>
      <c r="Q753" s="8" t="s">
        <v>56</v>
      </c>
      <c r="R753" s="10" t="s">
        <v>4744</v>
      </c>
      <c r="S753" s="11" t="s">
        <v>4750</v>
      </c>
      <c r="T753" s="6"/>
      <c r="U753" s="28" t="str">
        <f>HYPERLINK("https://media.infra-m.ru/2103/2103697/cover/2103697.jpg", "Обложка")</f>
        <v>Обложка</v>
      </c>
      <c r="V753" s="28" t="str">
        <f>HYPERLINK("https://znanium.ru/catalog/product/1876957", "Ознакомиться")</f>
        <v>Ознакомиться</v>
      </c>
      <c r="W753" s="8" t="s">
        <v>2144</v>
      </c>
      <c r="X753" s="6"/>
      <c r="Y753" s="6"/>
      <c r="Z753" s="6"/>
      <c r="AA753" s="6" t="s">
        <v>47</v>
      </c>
    </row>
    <row r="754" spans="1:27" s="4" customFormat="1" ht="51.95" customHeight="1">
      <c r="A754" s="5">
        <v>0</v>
      </c>
      <c r="B754" s="6" t="s">
        <v>4751</v>
      </c>
      <c r="C754" s="7">
        <v>1744.9</v>
      </c>
      <c r="D754" s="8" t="s">
        <v>4752</v>
      </c>
      <c r="E754" s="8" t="s">
        <v>4753</v>
      </c>
      <c r="F754" s="8" t="s">
        <v>4754</v>
      </c>
      <c r="G754" s="6" t="s">
        <v>123</v>
      </c>
      <c r="H754" s="6" t="s">
        <v>4755</v>
      </c>
      <c r="I754" s="8"/>
      <c r="J754" s="9">
        <v>1</v>
      </c>
      <c r="K754" s="9">
        <v>512</v>
      </c>
      <c r="L754" s="9">
        <v>2020</v>
      </c>
      <c r="M754" s="8" t="s">
        <v>4756</v>
      </c>
      <c r="N754" s="8" t="s">
        <v>41</v>
      </c>
      <c r="O754" s="8" t="s">
        <v>65</v>
      </c>
      <c r="P754" s="6" t="s">
        <v>176</v>
      </c>
      <c r="Q754" s="8" t="s">
        <v>56</v>
      </c>
      <c r="R754" s="10" t="s">
        <v>3710</v>
      </c>
      <c r="S754" s="11" t="s">
        <v>4757</v>
      </c>
      <c r="T754" s="6"/>
      <c r="U754" s="28" t="str">
        <f>HYPERLINK("https://media.infra-m.ru/1065/1065809/cover/1065809.jpg", "Обложка")</f>
        <v>Обложка</v>
      </c>
      <c r="V754" s="28" t="str">
        <f>HYPERLINK("https://znanium.ru/catalog/product/1937189", "Ознакомиться")</f>
        <v>Ознакомиться</v>
      </c>
      <c r="W754" s="8" t="s">
        <v>4102</v>
      </c>
      <c r="X754" s="6"/>
      <c r="Y754" s="6"/>
      <c r="Z754" s="6"/>
      <c r="AA754" s="6" t="s">
        <v>4758</v>
      </c>
    </row>
    <row r="755" spans="1:27" s="4" customFormat="1" ht="51.95" customHeight="1">
      <c r="A755" s="5">
        <v>0</v>
      </c>
      <c r="B755" s="6" t="s">
        <v>4759</v>
      </c>
      <c r="C755" s="7">
        <v>1804</v>
      </c>
      <c r="D755" s="8" t="s">
        <v>4760</v>
      </c>
      <c r="E755" s="8" t="s">
        <v>4747</v>
      </c>
      <c r="F755" s="8" t="s">
        <v>4761</v>
      </c>
      <c r="G755" s="6" t="s">
        <v>123</v>
      </c>
      <c r="H755" s="6" t="s">
        <v>38</v>
      </c>
      <c r="I755" s="8" t="s">
        <v>164</v>
      </c>
      <c r="J755" s="9">
        <v>1</v>
      </c>
      <c r="K755" s="9">
        <v>384</v>
      </c>
      <c r="L755" s="9">
        <v>2024</v>
      </c>
      <c r="M755" s="8" t="s">
        <v>4762</v>
      </c>
      <c r="N755" s="8" t="s">
        <v>41</v>
      </c>
      <c r="O755" s="8" t="s">
        <v>65</v>
      </c>
      <c r="P755" s="6" t="s">
        <v>176</v>
      </c>
      <c r="Q755" s="8" t="s">
        <v>56</v>
      </c>
      <c r="R755" s="10" t="s">
        <v>4744</v>
      </c>
      <c r="S755" s="11" t="s">
        <v>4763</v>
      </c>
      <c r="T755" s="6"/>
      <c r="U755" s="28" t="str">
        <f>HYPERLINK("https://media.infra-m.ru/2140/2140764/cover/2140764.jpg", "Обложка")</f>
        <v>Обложка</v>
      </c>
      <c r="V755" s="28" t="str">
        <f>HYPERLINK("https://znanium.ru/catalog/product/1913864", "Ознакомиться")</f>
        <v>Ознакомиться</v>
      </c>
      <c r="W755" s="8" t="s">
        <v>4764</v>
      </c>
      <c r="X755" s="6"/>
      <c r="Y755" s="6"/>
      <c r="Z755" s="6"/>
      <c r="AA755" s="6" t="s">
        <v>47</v>
      </c>
    </row>
    <row r="756" spans="1:27" s="4" customFormat="1" ht="51.95" customHeight="1">
      <c r="A756" s="5">
        <v>0</v>
      </c>
      <c r="B756" s="6" t="s">
        <v>4765</v>
      </c>
      <c r="C756" s="7">
        <v>1730</v>
      </c>
      <c r="D756" s="8" t="s">
        <v>4766</v>
      </c>
      <c r="E756" s="8" t="s">
        <v>4747</v>
      </c>
      <c r="F756" s="8" t="s">
        <v>4767</v>
      </c>
      <c r="G756" s="6" t="s">
        <v>83</v>
      </c>
      <c r="H756" s="6" t="s">
        <v>38</v>
      </c>
      <c r="I756" s="8" t="s">
        <v>185</v>
      </c>
      <c r="J756" s="9">
        <v>1</v>
      </c>
      <c r="K756" s="9">
        <v>384</v>
      </c>
      <c r="L756" s="9">
        <v>2021</v>
      </c>
      <c r="M756" s="8" t="s">
        <v>4768</v>
      </c>
      <c r="N756" s="8" t="s">
        <v>41</v>
      </c>
      <c r="O756" s="8" t="s">
        <v>65</v>
      </c>
      <c r="P756" s="6" t="s">
        <v>176</v>
      </c>
      <c r="Q756" s="8" t="s">
        <v>187</v>
      </c>
      <c r="R756" s="10" t="s">
        <v>4769</v>
      </c>
      <c r="S756" s="11" t="s">
        <v>4763</v>
      </c>
      <c r="T756" s="6"/>
      <c r="U756" s="28" t="str">
        <f>HYPERLINK("https://media.infra-m.ru/1950/1950296/cover/1950296.jpg", "Обложка")</f>
        <v>Обложка</v>
      </c>
      <c r="V756" s="28" t="str">
        <f>HYPERLINK("https://znanium.ru/catalog/product/1178787", "Ознакомиться")</f>
        <v>Ознакомиться</v>
      </c>
      <c r="W756" s="8" t="s">
        <v>4764</v>
      </c>
      <c r="X756" s="6"/>
      <c r="Y756" s="6"/>
      <c r="Z756" s="6" t="s">
        <v>192</v>
      </c>
      <c r="AA756" s="6" t="s">
        <v>193</v>
      </c>
    </row>
    <row r="757" spans="1:27" s="4" customFormat="1" ht="42" customHeight="1">
      <c r="A757" s="5">
        <v>0</v>
      </c>
      <c r="B757" s="6" t="s">
        <v>4770</v>
      </c>
      <c r="C757" s="7">
        <v>1964</v>
      </c>
      <c r="D757" s="8" t="s">
        <v>4771</v>
      </c>
      <c r="E757" s="8" t="s">
        <v>4753</v>
      </c>
      <c r="F757" s="8" t="s">
        <v>4772</v>
      </c>
      <c r="G757" s="6" t="s">
        <v>123</v>
      </c>
      <c r="H757" s="6" t="s">
        <v>725</v>
      </c>
      <c r="I757" s="8"/>
      <c r="J757" s="9">
        <v>1</v>
      </c>
      <c r="K757" s="9">
        <v>336</v>
      </c>
      <c r="L757" s="9">
        <v>2023</v>
      </c>
      <c r="M757" s="8" t="s">
        <v>4773</v>
      </c>
      <c r="N757" s="8" t="s">
        <v>41</v>
      </c>
      <c r="O757" s="8" t="s">
        <v>65</v>
      </c>
      <c r="P757" s="6" t="s">
        <v>176</v>
      </c>
      <c r="Q757" s="8" t="s">
        <v>56</v>
      </c>
      <c r="R757" s="10" t="s">
        <v>4744</v>
      </c>
      <c r="S757" s="11"/>
      <c r="T757" s="6"/>
      <c r="U757" s="28" t="str">
        <f>HYPERLINK("https://media.infra-m.ru/1906/1906798/cover/1906798.jpg", "Обложка")</f>
        <v>Обложка</v>
      </c>
      <c r="V757" s="28" t="str">
        <f>HYPERLINK("https://znanium.ru/catalog/product/1063698", "Ознакомиться")</f>
        <v>Ознакомиться</v>
      </c>
      <c r="W757" s="8" t="s">
        <v>363</v>
      </c>
      <c r="X757" s="6"/>
      <c r="Y757" s="6"/>
      <c r="Z757" s="6"/>
      <c r="AA757" s="6" t="s">
        <v>1500</v>
      </c>
    </row>
    <row r="758" spans="1:27" s="4" customFormat="1" ht="51.95" customHeight="1">
      <c r="A758" s="5">
        <v>0</v>
      </c>
      <c r="B758" s="6" t="s">
        <v>4774</v>
      </c>
      <c r="C758" s="7">
        <v>1860</v>
      </c>
      <c r="D758" s="8" t="s">
        <v>4775</v>
      </c>
      <c r="E758" s="8" t="s">
        <v>4753</v>
      </c>
      <c r="F758" s="8" t="s">
        <v>4776</v>
      </c>
      <c r="G758" s="6" t="s">
        <v>83</v>
      </c>
      <c r="H758" s="6" t="s">
        <v>38</v>
      </c>
      <c r="I758" s="8" t="s">
        <v>1963</v>
      </c>
      <c r="J758" s="9">
        <v>1</v>
      </c>
      <c r="K758" s="9">
        <v>414</v>
      </c>
      <c r="L758" s="9">
        <v>2023</v>
      </c>
      <c r="M758" s="8" t="s">
        <v>4777</v>
      </c>
      <c r="N758" s="8" t="s">
        <v>41</v>
      </c>
      <c r="O758" s="8" t="s">
        <v>65</v>
      </c>
      <c r="P758" s="6" t="s">
        <v>176</v>
      </c>
      <c r="Q758" s="8" t="s">
        <v>56</v>
      </c>
      <c r="R758" s="10" t="s">
        <v>4744</v>
      </c>
      <c r="S758" s="11" t="s">
        <v>4778</v>
      </c>
      <c r="T758" s="6"/>
      <c r="U758" s="28" t="str">
        <f>HYPERLINK("https://media.infra-m.ru/1971/1971064/cover/1971064.jpg", "Обложка")</f>
        <v>Обложка</v>
      </c>
      <c r="V758" s="28" t="str">
        <f>HYPERLINK("https://znanium.ru/catalog/product/1971064", "Ознакомиться")</f>
        <v>Ознакомиться</v>
      </c>
      <c r="W758" s="8" t="s">
        <v>140</v>
      </c>
      <c r="X758" s="6"/>
      <c r="Y758" s="6"/>
      <c r="Z758" s="6"/>
      <c r="AA758" s="6" t="s">
        <v>768</v>
      </c>
    </row>
    <row r="759" spans="1:27" s="4" customFormat="1" ht="51.95" customHeight="1">
      <c r="A759" s="5">
        <v>0</v>
      </c>
      <c r="B759" s="6" t="s">
        <v>4779</v>
      </c>
      <c r="C759" s="7">
        <v>1950</v>
      </c>
      <c r="D759" s="8" t="s">
        <v>4780</v>
      </c>
      <c r="E759" s="8" t="s">
        <v>4753</v>
      </c>
      <c r="F759" s="8" t="s">
        <v>4776</v>
      </c>
      <c r="G759" s="6" t="s">
        <v>123</v>
      </c>
      <c r="H759" s="6" t="s">
        <v>38</v>
      </c>
      <c r="I759" s="8" t="s">
        <v>185</v>
      </c>
      <c r="J759" s="9">
        <v>1</v>
      </c>
      <c r="K759" s="9">
        <v>414</v>
      </c>
      <c r="L759" s="9">
        <v>2024</v>
      </c>
      <c r="M759" s="8" t="s">
        <v>4781</v>
      </c>
      <c r="N759" s="8" t="s">
        <v>41</v>
      </c>
      <c r="O759" s="8" t="s">
        <v>65</v>
      </c>
      <c r="P759" s="6" t="s">
        <v>176</v>
      </c>
      <c r="Q759" s="8" t="s">
        <v>187</v>
      </c>
      <c r="R759" s="10" t="s">
        <v>4782</v>
      </c>
      <c r="S759" s="11" t="s">
        <v>4783</v>
      </c>
      <c r="T759" s="6"/>
      <c r="U759" s="28" t="str">
        <f>HYPERLINK("https://media.infra-m.ru/2129/2129641/cover/2129641.jpg", "Обложка")</f>
        <v>Обложка</v>
      </c>
      <c r="V759" s="28" t="str">
        <f>HYPERLINK("https://znanium.ru/catalog/product/2129641", "Ознакомиться")</f>
        <v>Ознакомиться</v>
      </c>
      <c r="W759" s="8" t="s">
        <v>140</v>
      </c>
      <c r="X759" s="6"/>
      <c r="Y759" s="6"/>
      <c r="Z759" s="6" t="s">
        <v>192</v>
      </c>
      <c r="AA759" s="6" t="s">
        <v>1006</v>
      </c>
    </row>
    <row r="760" spans="1:27" s="4" customFormat="1" ht="51.95" customHeight="1">
      <c r="A760" s="5">
        <v>0</v>
      </c>
      <c r="B760" s="6" t="s">
        <v>4784</v>
      </c>
      <c r="C760" s="7">
        <v>1100</v>
      </c>
      <c r="D760" s="8" t="s">
        <v>4785</v>
      </c>
      <c r="E760" s="8" t="s">
        <v>4747</v>
      </c>
      <c r="F760" s="8" t="s">
        <v>4776</v>
      </c>
      <c r="G760" s="6" t="s">
        <v>83</v>
      </c>
      <c r="H760" s="6" t="s">
        <v>38</v>
      </c>
      <c r="I760" s="8" t="s">
        <v>1963</v>
      </c>
      <c r="J760" s="9">
        <v>1</v>
      </c>
      <c r="K760" s="9">
        <v>366</v>
      </c>
      <c r="L760" s="9">
        <v>2018</v>
      </c>
      <c r="M760" s="8" t="s">
        <v>4786</v>
      </c>
      <c r="N760" s="8" t="s">
        <v>41</v>
      </c>
      <c r="O760" s="8" t="s">
        <v>65</v>
      </c>
      <c r="P760" s="6" t="s">
        <v>176</v>
      </c>
      <c r="Q760" s="8" t="s">
        <v>56</v>
      </c>
      <c r="R760" s="10" t="s">
        <v>4744</v>
      </c>
      <c r="S760" s="11" t="s">
        <v>4787</v>
      </c>
      <c r="T760" s="6"/>
      <c r="U760" s="28" t="str">
        <f>HYPERLINK("https://media.infra-m.ru/0949/0949699/cover/949699.jpg", "Обложка")</f>
        <v>Обложка</v>
      </c>
      <c r="V760" s="28" t="str">
        <f>HYPERLINK("https://znanium.ru/catalog/product/1971064", "Ознакомиться")</f>
        <v>Ознакомиться</v>
      </c>
      <c r="W760" s="8" t="s">
        <v>140</v>
      </c>
      <c r="X760" s="6"/>
      <c r="Y760" s="6"/>
      <c r="Z760" s="6"/>
      <c r="AA760" s="6" t="s">
        <v>68</v>
      </c>
    </row>
    <row r="761" spans="1:27" s="4" customFormat="1" ht="51.95" customHeight="1">
      <c r="A761" s="5">
        <v>0</v>
      </c>
      <c r="B761" s="6" t="s">
        <v>4788</v>
      </c>
      <c r="C761" s="7">
        <v>1680</v>
      </c>
      <c r="D761" s="8" t="s">
        <v>4789</v>
      </c>
      <c r="E761" s="8" t="s">
        <v>4747</v>
      </c>
      <c r="F761" s="8" t="s">
        <v>4162</v>
      </c>
      <c r="G761" s="6" t="s">
        <v>83</v>
      </c>
      <c r="H761" s="6" t="s">
        <v>38</v>
      </c>
      <c r="I761" s="8" t="s">
        <v>155</v>
      </c>
      <c r="J761" s="9">
        <v>1</v>
      </c>
      <c r="K761" s="9">
        <v>368</v>
      </c>
      <c r="L761" s="9">
        <v>2023</v>
      </c>
      <c r="M761" s="8" t="s">
        <v>4790</v>
      </c>
      <c r="N761" s="8" t="s">
        <v>41</v>
      </c>
      <c r="O761" s="8" t="s">
        <v>65</v>
      </c>
      <c r="P761" s="6" t="s">
        <v>55</v>
      </c>
      <c r="Q761" s="8" t="s">
        <v>177</v>
      </c>
      <c r="R761" s="10" t="s">
        <v>4744</v>
      </c>
      <c r="S761" s="11" t="s">
        <v>4791</v>
      </c>
      <c r="T761" s="6"/>
      <c r="U761" s="28" t="str">
        <f>HYPERLINK("https://media.infra-m.ru/2002/2002579/cover/2002579.jpg", "Обложка")</f>
        <v>Обложка</v>
      </c>
      <c r="V761" s="28" t="str">
        <f>HYPERLINK("https://znanium.ru/catalog/product/2002579", "Ознакомиться")</f>
        <v>Ознакомиться</v>
      </c>
      <c r="W761" s="8" t="s">
        <v>2712</v>
      </c>
      <c r="X761" s="6"/>
      <c r="Y761" s="6"/>
      <c r="Z761" s="6"/>
      <c r="AA761" s="6" t="s">
        <v>274</v>
      </c>
    </row>
    <row r="762" spans="1:27" s="4" customFormat="1" ht="51.95" customHeight="1">
      <c r="A762" s="5">
        <v>0</v>
      </c>
      <c r="B762" s="6" t="s">
        <v>4792</v>
      </c>
      <c r="C762" s="13">
        <v>594.9</v>
      </c>
      <c r="D762" s="8" t="s">
        <v>4793</v>
      </c>
      <c r="E762" s="8" t="s">
        <v>4794</v>
      </c>
      <c r="F762" s="8" t="s">
        <v>4795</v>
      </c>
      <c r="G762" s="6" t="s">
        <v>37</v>
      </c>
      <c r="H762" s="6" t="s">
        <v>38</v>
      </c>
      <c r="I762" s="8" t="s">
        <v>39</v>
      </c>
      <c r="J762" s="9">
        <v>1</v>
      </c>
      <c r="K762" s="9">
        <v>152</v>
      </c>
      <c r="L762" s="9">
        <v>2022</v>
      </c>
      <c r="M762" s="8" t="s">
        <v>4796</v>
      </c>
      <c r="N762" s="8" t="s">
        <v>41</v>
      </c>
      <c r="O762" s="8" t="s">
        <v>65</v>
      </c>
      <c r="P762" s="6" t="s">
        <v>43</v>
      </c>
      <c r="Q762" s="8" t="s">
        <v>44</v>
      </c>
      <c r="R762" s="10" t="s">
        <v>4797</v>
      </c>
      <c r="S762" s="11"/>
      <c r="T762" s="6"/>
      <c r="U762" s="28" t="str">
        <f>HYPERLINK("https://media.infra-m.ru/1843/1843616/cover/1843616.jpg", "Обложка")</f>
        <v>Обложка</v>
      </c>
      <c r="V762" s="28" t="str">
        <f>HYPERLINK("https://znanium.ru/catalog/product/1002746", "Ознакомиться")</f>
        <v>Ознакомиться</v>
      </c>
      <c r="W762" s="8"/>
      <c r="X762" s="6"/>
      <c r="Y762" s="6"/>
      <c r="Z762" s="6"/>
      <c r="AA762" s="6" t="s">
        <v>47</v>
      </c>
    </row>
    <row r="763" spans="1:27" s="4" customFormat="1" ht="42" customHeight="1">
      <c r="A763" s="5">
        <v>0</v>
      </c>
      <c r="B763" s="6" t="s">
        <v>4798</v>
      </c>
      <c r="C763" s="7">
        <v>1044</v>
      </c>
      <c r="D763" s="8" t="s">
        <v>4799</v>
      </c>
      <c r="E763" s="8" t="s">
        <v>4800</v>
      </c>
      <c r="F763" s="8" t="s">
        <v>4801</v>
      </c>
      <c r="G763" s="6" t="s">
        <v>360</v>
      </c>
      <c r="H763" s="6" t="s">
        <v>38</v>
      </c>
      <c r="I763" s="8" t="s">
        <v>325</v>
      </c>
      <c r="J763" s="9">
        <v>1</v>
      </c>
      <c r="K763" s="9">
        <v>226</v>
      </c>
      <c r="L763" s="9">
        <v>2024</v>
      </c>
      <c r="M763" s="8" t="s">
        <v>4802</v>
      </c>
      <c r="N763" s="8" t="s">
        <v>74</v>
      </c>
      <c r="O763" s="8" t="s">
        <v>93</v>
      </c>
      <c r="P763" s="6" t="s">
        <v>43</v>
      </c>
      <c r="Q763" s="8" t="s">
        <v>44</v>
      </c>
      <c r="R763" s="10" t="s">
        <v>1710</v>
      </c>
      <c r="S763" s="11"/>
      <c r="T763" s="6"/>
      <c r="U763" s="28" t="str">
        <f>HYPERLINK("https://media.infra-m.ru/2085/2085927/cover/2085927.jpg", "Обложка")</f>
        <v>Обложка</v>
      </c>
      <c r="V763" s="12"/>
      <c r="W763" s="8" t="s">
        <v>4803</v>
      </c>
      <c r="X763" s="6"/>
      <c r="Y763" s="6"/>
      <c r="Z763" s="6"/>
      <c r="AA763" s="6" t="s">
        <v>68</v>
      </c>
    </row>
    <row r="764" spans="1:27" s="4" customFormat="1" ht="42" customHeight="1">
      <c r="A764" s="5">
        <v>0</v>
      </c>
      <c r="B764" s="6" t="s">
        <v>4804</v>
      </c>
      <c r="C764" s="13">
        <v>540</v>
      </c>
      <c r="D764" s="8" t="s">
        <v>4805</v>
      </c>
      <c r="E764" s="8" t="s">
        <v>4806</v>
      </c>
      <c r="F764" s="8" t="s">
        <v>72</v>
      </c>
      <c r="G764" s="6" t="s">
        <v>37</v>
      </c>
      <c r="H764" s="6" t="s">
        <v>38</v>
      </c>
      <c r="I764" s="8" t="s">
        <v>39</v>
      </c>
      <c r="J764" s="9">
        <v>1</v>
      </c>
      <c r="K764" s="9">
        <v>121</v>
      </c>
      <c r="L764" s="9">
        <v>2022</v>
      </c>
      <c r="M764" s="8" t="s">
        <v>4807</v>
      </c>
      <c r="N764" s="8" t="s">
        <v>74</v>
      </c>
      <c r="O764" s="8" t="s">
        <v>75</v>
      </c>
      <c r="P764" s="6" t="s">
        <v>43</v>
      </c>
      <c r="Q764" s="8" t="s">
        <v>44</v>
      </c>
      <c r="R764" s="10" t="s">
        <v>3006</v>
      </c>
      <c r="S764" s="11"/>
      <c r="T764" s="6"/>
      <c r="U764" s="28" t="str">
        <f>HYPERLINK("https://media.infra-m.ru/1864/1864111/cover/1864111.jpg", "Обложка")</f>
        <v>Обложка</v>
      </c>
      <c r="V764" s="28" t="str">
        <f>HYPERLINK("https://znanium.ru/catalog/product/1864111", "Ознакомиться")</f>
        <v>Ознакомиться</v>
      </c>
      <c r="W764" s="8" t="s">
        <v>77</v>
      </c>
      <c r="X764" s="6"/>
      <c r="Y764" s="6"/>
      <c r="Z764" s="6"/>
      <c r="AA764" s="6" t="s">
        <v>141</v>
      </c>
    </row>
    <row r="765" spans="1:27" s="4" customFormat="1" ht="42" customHeight="1">
      <c r="A765" s="5">
        <v>0</v>
      </c>
      <c r="B765" s="6" t="s">
        <v>4808</v>
      </c>
      <c r="C765" s="7">
        <v>1270</v>
      </c>
      <c r="D765" s="8" t="s">
        <v>4809</v>
      </c>
      <c r="E765" s="8" t="s">
        <v>4810</v>
      </c>
      <c r="F765" s="8" t="s">
        <v>4811</v>
      </c>
      <c r="G765" s="6" t="s">
        <v>37</v>
      </c>
      <c r="H765" s="6" t="s">
        <v>38</v>
      </c>
      <c r="I765" s="8" t="s">
        <v>325</v>
      </c>
      <c r="J765" s="9">
        <v>1</v>
      </c>
      <c r="K765" s="9">
        <v>270</v>
      </c>
      <c r="L765" s="9">
        <v>2024</v>
      </c>
      <c r="M765" s="8" t="s">
        <v>4812</v>
      </c>
      <c r="N765" s="8" t="s">
        <v>74</v>
      </c>
      <c r="O765" s="8" t="s">
        <v>75</v>
      </c>
      <c r="P765" s="6" t="s">
        <v>43</v>
      </c>
      <c r="Q765" s="8" t="s">
        <v>44</v>
      </c>
      <c r="R765" s="10" t="s">
        <v>4813</v>
      </c>
      <c r="S765" s="11"/>
      <c r="T765" s="6"/>
      <c r="U765" s="28" t="str">
        <f>HYPERLINK("https://media.infra-m.ru/2125/2125173/cover/2125173.jpg", "Обложка")</f>
        <v>Обложка</v>
      </c>
      <c r="V765" s="12"/>
      <c r="W765" s="8" t="s">
        <v>327</v>
      </c>
      <c r="X765" s="6" t="s">
        <v>503</v>
      </c>
      <c r="Y765" s="6"/>
      <c r="Z765" s="6"/>
      <c r="AA765" s="6" t="s">
        <v>180</v>
      </c>
    </row>
    <row r="766" spans="1:27" s="4" customFormat="1" ht="42" customHeight="1">
      <c r="A766" s="5">
        <v>0</v>
      </c>
      <c r="B766" s="6" t="s">
        <v>4814</v>
      </c>
      <c r="C766" s="13">
        <v>464</v>
      </c>
      <c r="D766" s="8" t="s">
        <v>4815</v>
      </c>
      <c r="E766" s="8" t="s">
        <v>4816</v>
      </c>
      <c r="F766" s="8" t="s">
        <v>2395</v>
      </c>
      <c r="G766" s="6" t="s">
        <v>37</v>
      </c>
      <c r="H766" s="6" t="s">
        <v>38</v>
      </c>
      <c r="I766" s="8" t="s">
        <v>39</v>
      </c>
      <c r="J766" s="9">
        <v>1</v>
      </c>
      <c r="K766" s="9">
        <v>100</v>
      </c>
      <c r="L766" s="9">
        <v>2024</v>
      </c>
      <c r="M766" s="8" t="s">
        <v>4817</v>
      </c>
      <c r="N766" s="8" t="s">
        <v>74</v>
      </c>
      <c r="O766" s="8" t="s">
        <v>75</v>
      </c>
      <c r="P766" s="6" t="s">
        <v>43</v>
      </c>
      <c r="Q766" s="8" t="s">
        <v>44</v>
      </c>
      <c r="R766" s="10" t="s">
        <v>4818</v>
      </c>
      <c r="S766" s="11"/>
      <c r="T766" s="6"/>
      <c r="U766" s="28" t="str">
        <f>HYPERLINK("https://media.infra-m.ru/2082/2082160/cover/2082160.jpg", "Обложка")</f>
        <v>Обложка</v>
      </c>
      <c r="V766" s="28" t="str">
        <f>HYPERLINK("https://znanium.ru/catalog/product/1168576", "Ознакомиться")</f>
        <v>Ознакомиться</v>
      </c>
      <c r="W766" s="8" t="s">
        <v>58</v>
      </c>
      <c r="X766" s="6"/>
      <c r="Y766" s="6"/>
      <c r="Z766" s="6"/>
      <c r="AA766" s="6" t="s">
        <v>59</v>
      </c>
    </row>
    <row r="767" spans="1:27" s="4" customFormat="1" ht="51.95" customHeight="1">
      <c r="A767" s="5">
        <v>0</v>
      </c>
      <c r="B767" s="6" t="s">
        <v>4819</v>
      </c>
      <c r="C767" s="13">
        <v>624.9</v>
      </c>
      <c r="D767" s="8" t="s">
        <v>4820</v>
      </c>
      <c r="E767" s="8" t="s">
        <v>4821</v>
      </c>
      <c r="F767" s="8" t="s">
        <v>4822</v>
      </c>
      <c r="G767" s="6" t="s">
        <v>37</v>
      </c>
      <c r="H767" s="6" t="s">
        <v>38</v>
      </c>
      <c r="I767" s="8" t="s">
        <v>39</v>
      </c>
      <c r="J767" s="9">
        <v>1</v>
      </c>
      <c r="K767" s="9">
        <v>159</v>
      </c>
      <c r="L767" s="9">
        <v>2021</v>
      </c>
      <c r="M767" s="8" t="s">
        <v>4823</v>
      </c>
      <c r="N767" s="8" t="s">
        <v>41</v>
      </c>
      <c r="O767" s="8" t="s">
        <v>42</v>
      </c>
      <c r="P767" s="6" t="s">
        <v>43</v>
      </c>
      <c r="Q767" s="8" t="s">
        <v>44</v>
      </c>
      <c r="R767" s="10" t="s">
        <v>4824</v>
      </c>
      <c r="S767" s="11"/>
      <c r="T767" s="6"/>
      <c r="U767" s="28" t="str">
        <f>HYPERLINK("https://media.infra-m.ru/1841/1841354/cover/1841354.jpg", "Обложка")</f>
        <v>Обложка</v>
      </c>
      <c r="V767" s="28" t="str">
        <f>HYPERLINK("https://znanium.ru/catalog/product/1210062", "Ознакомиться")</f>
        <v>Ознакомиться</v>
      </c>
      <c r="W767" s="8" t="s">
        <v>4825</v>
      </c>
      <c r="X767" s="6"/>
      <c r="Y767" s="6"/>
      <c r="Z767" s="6"/>
      <c r="AA767" s="6" t="s">
        <v>193</v>
      </c>
    </row>
    <row r="768" spans="1:27" s="4" customFormat="1" ht="42" customHeight="1">
      <c r="A768" s="5">
        <v>0</v>
      </c>
      <c r="B768" s="6" t="s">
        <v>4826</v>
      </c>
      <c r="C768" s="13">
        <v>350</v>
      </c>
      <c r="D768" s="8" t="s">
        <v>4827</v>
      </c>
      <c r="E768" s="8" t="s">
        <v>4828</v>
      </c>
      <c r="F768" s="8" t="s">
        <v>1148</v>
      </c>
      <c r="G768" s="6" t="s">
        <v>37</v>
      </c>
      <c r="H768" s="6" t="s">
        <v>317</v>
      </c>
      <c r="I768" s="8"/>
      <c r="J768" s="9">
        <v>1</v>
      </c>
      <c r="K768" s="9">
        <v>98</v>
      </c>
      <c r="L768" s="9">
        <v>2024</v>
      </c>
      <c r="M768" s="8" t="s">
        <v>4829</v>
      </c>
      <c r="N768" s="8" t="s">
        <v>74</v>
      </c>
      <c r="O768" s="8" t="s">
        <v>75</v>
      </c>
      <c r="P768" s="6" t="s">
        <v>1604</v>
      </c>
      <c r="Q768" s="8" t="s">
        <v>207</v>
      </c>
      <c r="R768" s="10" t="s">
        <v>4830</v>
      </c>
      <c r="S768" s="11"/>
      <c r="T768" s="6"/>
      <c r="U768" s="28" t="str">
        <f>HYPERLINK("https://media.infra-m.ru/2093/2093939/cover/2093939.jpg", "Обложка")</f>
        <v>Обложка</v>
      </c>
      <c r="V768" s="28" t="str">
        <f>HYPERLINK("https://znanium.ru/catalog/product/2093939", "Ознакомиться")</f>
        <v>Ознакомиться</v>
      </c>
      <c r="W768" s="8"/>
      <c r="X768" s="6"/>
      <c r="Y768" s="6"/>
      <c r="Z768" s="6"/>
      <c r="AA768" s="6" t="s">
        <v>768</v>
      </c>
    </row>
    <row r="769" spans="1:27" s="4" customFormat="1" ht="42" customHeight="1">
      <c r="A769" s="5">
        <v>0</v>
      </c>
      <c r="B769" s="6" t="s">
        <v>4831</v>
      </c>
      <c r="C769" s="13">
        <v>164.9</v>
      </c>
      <c r="D769" s="8" t="s">
        <v>4832</v>
      </c>
      <c r="E769" s="8" t="s">
        <v>4833</v>
      </c>
      <c r="F769" s="8"/>
      <c r="G769" s="6" t="s">
        <v>37</v>
      </c>
      <c r="H769" s="6" t="s">
        <v>317</v>
      </c>
      <c r="I769" s="8"/>
      <c r="J769" s="9">
        <v>1</v>
      </c>
      <c r="K769" s="9">
        <v>96</v>
      </c>
      <c r="L769" s="9">
        <v>2018</v>
      </c>
      <c r="M769" s="8" t="s">
        <v>4834</v>
      </c>
      <c r="N769" s="8" t="s">
        <v>74</v>
      </c>
      <c r="O769" s="8" t="s">
        <v>75</v>
      </c>
      <c r="P769" s="6" t="s">
        <v>1604</v>
      </c>
      <c r="Q769" s="8" t="s">
        <v>207</v>
      </c>
      <c r="R769" s="10" t="s">
        <v>4830</v>
      </c>
      <c r="S769" s="11"/>
      <c r="T769" s="6"/>
      <c r="U769" s="28" t="str">
        <f>HYPERLINK("https://media.infra-m.ru/0946/0946444/cover/946444.jpg", "Обложка")</f>
        <v>Обложка</v>
      </c>
      <c r="V769" s="28" t="str">
        <f>HYPERLINK("https://znanium.ru/catalog/product/2093939", "Ознакомиться")</f>
        <v>Ознакомиться</v>
      </c>
      <c r="W769" s="8"/>
      <c r="X769" s="6"/>
      <c r="Y769" s="6"/>
      <c r="Z769" s="6"/>
      <c r="AA769" s="6" t="s">
        <v>3498</v>
      </c>
    </row>
    <row r="770" spans="1:27" s="4" customFormat="1" ht="51.95" customHeight="1">
      <c r="A770" s="5">
        <v>0</v>
      </c>
      <c r="B770" s="6" t="s">
        <v>4835</v>
      </c>
      <c r="C770" s="7">
        <v>1194.9000000000001</v>
      </c>
      <c r="D770" s="8" t="s">
        <v>4836</v>
      </c>
      <c r="E770" s="8" t="s">
        <v>4837</v>
      </c>
      <c r="F770" s="8" t="s">
        <v>122</v>
      </c>
      <c r="G770" s="6" t="s">
        <v>83</v>
      </c>
      <c r="H770" s="6" t="s">
        <v>38</v>
      </c>
      <c r="I770" s="8" t="s">
        <v>39</v>
      </c>
      <c r="J770" s="9">
        <v>1</v>
      </c>
      <c r="K770" s="9">
        <v>266</v>
      </c>
      <c r="L770" s="9">
        <v>2023</v>
      </c>
      <c r="M770" s="8" t="s">
        <v>4838</v>
      </c>
      <c r="N770" s="8" t="s">
        <v>41</v>
      </c>
      <c r="O770" s="8" t="s">
        <v>65</v>
      </c>
      <c r="P770" s="6" t="s">
        <v>43</v>
      </c>
      <c r="Q770" s="8" t="s">
        <v>44</v>
      </c>
      <c r="R770" s="10" t="s">
        <v>1152</v>
      </c>
      <c r="S770" s="11"/>
      <c r="T770" s="6"/>
      <c r="U770" s="28" t="str">
        <f>HYPERLINK("https://media.infra-m.ru/2001/2001667/cover/2001667.jpg", "Обложка")</f>
        <v>Обложка</v>
      </c>
      <c r="V770" s="28" t="str">
        <f>HYPERLINK("https://znanium.ru/catalog/product/1039316", "Ознакомиться")</f>
        <v>Ознакомиться</v>
      </c>
      <c r="W770" s="8" t="s">
        <v>95</v>
      </c>
      <c r="X770" s="6"/>
      <c r="Y770" s="6"/>
      <c r="Z770" s="6"/>
      <c r="AA770" s="6" t="s">
        <v>364</v>
      </c>
    </row>
    <row r="771" spans="1:27" s="4" customFormat="1" ht="42" customHeight="1">
      <c r="A771" s="5">
        <v>0</v>
      </c>
      <c r="B771" s="6" t="s">
        <v>4839</v>
      </c>
      <c r="C771" s="13">
        <v>984.9</v>
      </c>
      <c r="D771" s="8" t="s">
        <v>4840</v>
      </c>
      <c r="E771" s="8" t="s">
        <v>4841</v>
      </c>
      <c r="F771" s="8" t="s">
        <v>4842</v>
      </c>
      <c r="G771" s="6" t="s">
        <v>123</v>
      </c>
      <c r="H771" s="6" t="s">
        <v>317</v>
      </c>
      <c r="I771" s="8" t="s">
        <v>164</v>
      </c>
      <c r="J771" s="9">
        <v>1</v>
      </c>
      <c r="K771" s="9">
        <v>267</v>
      </c>
      <c r="L771" s="9">
        <v>2021</v>
      </c>
      <c r="M771" s="8" t="s">
        <v>4843</v>
      </c>
      <c r="N771" s="8" t="s">
        <v>41</v>
      </c>
      <c r="O771" s="8" t="s">
        <v>65</v>
      </c>
      <c r="P771" s="6" t="s">
        <v>55</v>
      </c>
      <c r="Q771" s="8" t="s">
        <v>56</v>
      </c>
      <c r="R771" s="10" t="s">
        <v>2445</v>
      </c>
      <c r="S771" s="11"/>
      <c r="T771" s="6"/>
      <c r="U771" s="28" t="str">
        <f>HYPERLINK("https://media.infra-m.ru/1481/1481541/cover/1481541.jpg", "Обложка")</f>
        <v>Обложка</v>
      </c>
      <c r="V771" s="28" t="str">
        <f>HYPERLINK("https://znanium.ru/catalog/product/1481541", "Ознакомиться")</f>
        <v>Ознакомиться</v>
      </c>
      <c r="W771" s="8" t="s">
        <v>1841</v>
      </c>
      <c r="X771" s="6"/>
      <c r="Y771" s="6"/>
      <c r="Z771" s="6"/>
      <c r="AA771" s="6" t="s">
        <v>364</v>
      </c>
    </row>
    <row r="772" spans="1:27" s="4" customFormat="1" ht="51.95" customHeight="1">
      <c r="A772" s="5">
        <v>0</v>
      </c>
      <c r="B772" s="6" t="s">
        <v>4844</v>
      </c>
      <c r="C772" s="13">
        <v>620</v>
      </c>
      <c r="D772" s="8" t="s">
        <v>4845</v>
      </c>
      <c r="E772" s="8" t="s">
        <v>4846</v>
      </c>
      <c r="F772" s="8" t="s">
        <v>4212</v>
      </c>
      <c r="G772" s="6" t="s">
        <v>37</v>
      </c>
      <c r="H772" s="6" t="s">
        <v>38</v>
      </c>
      <c r="I772" s="8" t="s">
        <v>39</v>
      </c>
      <c r="J772" s="9">
        <v>1</v>
      </c>
      <c r="K772" s="9">
        <v>130</v>
      </c>
      <c r="L772" s="9">
        <v>2024</v>
      </c>
      <c r="M772" s="8" t="s">
        <v>4847</v>
      </c>
      <c r="N772" s="8" t="s">
        <v>74</v>
      </c>
      <c r="O772" s="8" t="s">
        <v>75</v>
      </c>
      <c r="P772" s="6" t="s">
        <v>43</v>
      </c>
      <c r="Q772" s="8" t="s">
        <v>44</v>
      </c>
      <c r="R772" s="10" t="s">
        <v>4848</v>
      </c>
      <c r="S772" s="11"/>
      <c r="T772" s="6"/>
      <c r="U772" s="28" t="str">
        <f>HYPERLINK("https://media.infra-m.ru/2136/2136967/cover/2136967.jpg", "Обложка")</f>
        <v>Обложка</v>
      </c>
      <c r="V772" s="28" t="str">
        <f>HYPERLINK("https://znanium.ru/catalog/product/2136967", "Ознакомиться")</f>
        <v>Ознакомиться</v>
      </c>
      <c r="W772" s="8" t="s">
        <v>4216</v>
      </c>
      <c r="X772" s="6"/>
      <c r="Y772" s="6"/>
      <c r="Z772" s="6"/>
      <c r="AA772" s="6" t="s">
        <v>68</v>
      </c>
    </row>
    <row r="773" spans="1:27" s="4" customFormat="1" ht="51.95" customHeight="1">
      <c r="A773" s="5">
        <v>0</v>
      </c>
      <c r="B773" s="6" t="s">
        <v>4849</v>
      </c>
      <c r="C773" s="13">
        <v>494.9</v>
      </c>
      <c r="D773" s="8" t="s">
        <v>4850</v>
      </c>
      <c r="E773" s="8" t="s">
        <v>4851</v>
      </c>
      <c r="F773" s="8" t="s">
        <v>1721</v>
      </c>
      <c r="G773" s="6" t="s">
        <v>123</v>
      </c>
      <c r="H773" s="6" t="s">
        <v>38</v>
      </c>
      <c r="I773" s="8" t="s">
        <v>164</v>
      </c>
      <c r="J773" s="9">
        <v>1</v>
      </c>
      <c r="K773" s="9">
        <v>162</v>
      </c>
      <c r="L773" s="9">
        <v>2017</v>
      </c>
      <c r="M773" s="8" t="s">
        <v>4852</v>
      </c>
      <c r="N773" s="8" t="s">
        <v>41</v>
      </c>
      <c r="O773" s="8" t="s">
        <v>65</v>
      </c>
      <c r="P773" s="6" t="s">
        <v>55</v>
      </c>
      <c r="Q773" s="8" t="s">
        <v>56</v>
      </c>
      <c r="R773" s="10" t="s">
        <v>4853</v>
      </c>
      <c r="S773" s="11" t="s">
        <v>1724</v>
      </c>
      <c r="T773" s="6"/>
      <c r="U773" s="28" t="str">
        <f>HYPERLINK("https://media.infra-m.ru/0891/0891305/cover/891305.jpg", "Обложка")</f>
        <v>Обложка</v>
      </c>
      <c r="V773" s="28" t="str">
        <f>HYPERLINK("https://znanium.ru/catalog/product/501062", "Ознакомиться")</f>
        <v>Ознакомиться</v>
      </c>
      <c r="W773" s="8" t="s">
        <v>1028</v>
      </c>
      <c r="X773" s="6"/>
      <c r="Y773" s="6"/>
      <c r="Z773" s="6"/>
      <c r="AA773" s="6" t="s">
        <v>169</v>
      </c>
    </row>
    <row r="774" spans="1:27" s="4" customFormat="1" ht="42" customHeight="1">
      <c r="A774" s="5">
        <v>0</v>
      </c>
      <c r="B774" s="6" t="s">
        <v>4854</v>
      </c>
      <c r="C774" s="7">
        <v>1060</v>
      </c>
      <c r="D774" s="8" t="s">
        <v>4855</v>
      </c>
      <c r="E774" s="8" t="s">
        <v>4856</v>
      </c>
      <c r="F774" s="8" t="s">
        <v>4857</v>
      </c>
      <c r="G774" s="6" t="s">
        <v>123</v>
      </c>
      <c r="H774" s="6" t="s">
        <v>38</v>
      </c>
      <c r="I774" s="8" t="s">
        <v>164</v>
      </c>
      <c r="J774" s="9">
        <v>1</v>
      </c>
      <c r="K774" s="9">
        <v>268</v>
      </c>
      <c r="L774" s="9">
        <v>2022</v>
      </c>
      <c r="M774" s="8" t="s">
        <v>4858</v>
      </c>
      <c r="N774" s="8" t="s">
        <v>74</v>
      </c>
      <c r="O774" s="8" t="s">
        <v>1559</v>
      </c>
      <c r="P774" s="6" t="s">
        <v>55</v>
      </c>
      <c r="Q774" s="8" t="s">
        <v>56</v>
      </c>
      <c r="R774" s="10" t="s">
        <v>4859</v>
      </c>
      <c r="S774" s="11"/>
      <c r="T774" s="6"/>
      <c r="U774" s="28" t="str">
        <f>HYPERLINK("https://media.infra-m.ru/1862/1862880/cover/1862880.jpg", "Обложка")</f>
        <v>Обложка</v>
      </c>
      <c r="V774" s="28" t="str">
        <f>HYPERLINK("https://znanium.ru/catalog/product/1862880", "Ознакомиться")</f>
        <v>Ознакомиться</v>
      </c>
      <c r="W774" s="8" t="s">
        <v>1579</v>
      </c>
      <c r="X774" s="6"/>
      <c r="Y774" s="6"/>
      <c r="Z774" s="6" t="s">
        <v>283</v>
      </c>
      <c r="AA774" s="6" t="s">
        <v>103</v>
      </c>
    </row>
    <row r="775" spans="1:27" s="4" customFormat="1" ht="42" customHeight="1">
      <c r="A775" s="5">
        <v>0</v>
      </c>
      <c r="B775" s="6" t="s">
        <v>4860</v>
      </c>
      <c r="C775" s="7">
        <v>1210</v>
      </c>
      <c r="D775" s="8" t="s">
        <v>4861</v>
      </c>
      <c r="E775" s="8" t="s">
        <v>4856</v>
      </c>
      <c r="F775" s="8" t="s">
        <v>4857</v>
      </c>
      <c r="G775" s="6" t="s">
        <v>83</v>
      </c>
      <c r="H775" s="6" t="s">
        <v>38</v>
      </c>
      <c r="I775" s="8" t="s">
        <v>205</v>
      </c>
      <c r="J775" s="9">
        <v>1</v>
      </c>
      <c r="K775" s="9">
        <v>268</v>
      </c>
      <c r="L775" s="9">
        <v>2023</v>
      </c>
      <c r="M775" s="8" t="s">
        <v>4862</v>
      </c>
      <c r="N775" s="8" t="s">
        <v>74</v>
      </c>
      <c r="O775" s="8" t="s">
        <v>1559</v>
      </c>
      <c r="P775" s="6" t="s">
        <v>55</v>
      </c>
      <c r="Q775" s="8" t="s">
        <v>207</v>
      </c>
      <c r="R775" s="10" t="s">
        <v>4034</v>
      </c>
      <c r="S775" s="11"/>
      <c r="T775" s="6"/>
      <c r="U775" s="28" t="str">
        <f>HYPERLINK("https://media.infra-m.ru/1897/1897061/cover/1897061.jpg", "Обложка")</f>
        <v>Обложка</v>
      </c>
      <c r="V775" s="28" t="str">
        <f>HYPERLINK("https://znanium.ru/catalog/product/1897061", "Ознакомиться")</f>
        <v>Ознакомиться</v>
      </c>
      <c r="W775" s="8" t="s">
        <v>1579</v>
      </c>
      <c r="X775" s="6"/>
      <c r="Y775" s="6"/>
      <c r="Z775" s="6"/>
      <c r="AA775" s="6" t="s">
        <v>103</v>
      </c>
    </row>
    <row r="776" spans="1:27" s="4" customFormat="1" ht="51.95" customHeight="1">
      <c r="A776" s="5">
        <v>0</v>
      </c>
      <c r="B776" s="6" t="s">
        <v>4863</v>
      </c>
      <c r="C776" s="7">
        <v>2630</v>
      </c>
      <c r="D776" s="8" t="s">
        <v>4864</v>
      </c>
      <c r="E776" s="8" t="s">
        <v>4865</v>
      </c>
      <c r="F776" s="8" t="s">
        <v>4866</v>
      </c>
      <c r="G776" s="6" t="s">
        <v>123</v>
      </c>
      <c r="H776" s="6" t="s">
        <v>725</v>
      </c>
      <c r="I776" s="8" t="s">
        <v>4867</v>
      </c>
      <c r="J776" s="9">
        <v>1</v>
      </c>
      <c r="K776" s="9">
        <v>560</v>
      </c>
      <c r="L776" s="9">
        <v>2024</v>
      </c>
      <c r="M776" s="8" t="s">
        <v>4868</v>
      </c>
      <c r="N776" s="8" t="s">
        <v>41</v>
      </c>
      <c r="O776" s="8" t="s">
        <v>65</v>
      </c>
      <c r="P776" s="6" t="s">
        <v>176</v>
      </c>
      <c r="Q776" s="8" t="s">
        <v>56</v>
      </c>
      <c r="R776" s="10" t="s">
        <v>4869</v>
      </c>
      <c r="S776" s="11" t="s">
        <v>3568</v>
      </c>
      <c r="T776" s="6"/>
      <c r="U776" s="28" t="str">
        <f>HYPERLINK("https://media.infra-m.ru/2087/2087269/cover/2087269.jpg", "Обложка")</f>
        <v>Обложка</v>
      </c>
      <c r="V776" s="28" t="str">
        <f>HYPERLINK("https://znanium.ru/catalog/product/515456", "Ознакомиться")</f>
        <v>Ознакомиться</v>
      </c>
      <c r="W776" s="8" t="s">
        <v>3569</v>
      </c>
      <c r="X776" s="6"/>
      <c r="Y776" s="6"/>
      <c r="Z776" s="6"/>
      <c r="AA776" s="6" t="s">
        <v>290</v>
      </c>
    </row>
    <row r="777" spans="1:27" s="4" customFormat="1" ht="51.95" customHeight="1">
      <c r="A777" s="5">
        <v>0</v>
      </c>
      <c r="B777" s="6" t="s">
        <v>4870</v>
      </c>
      <c r="C777" s="13">
        <v>910</v>
      </c>
      <c r="D777" s="8" t="s">
        <v>4871</v>
      </c>
      <c r="E777" s="8" t="s">
        <v>4872</v>
      </c>
      <c r="F777" s="8" t="s">
        <v>4873</v>
      </c>
      <c r="G777" s="6" t="s">
        <v>37</v>
      </c>
      <c r="H777" s="6" t="s">
        <v>470</v>
      </c>
      <c r="I777" s="8"/>
      <c r="J777" s="9">
        <v>1</v>
      </c>
      <c r="K777" s="9">
        <v>239</v>
      </c>
      <c r="L777" s="9">
        <v>2022</v>
      </c>
      <c r="M777" s="8" t="s">
        <v>4874</v>
      </c>
      <c r="N777" s="8" t="s">
        <v>41</v>
      </c>
      <c r="O777" s="8" t="s">
        <v>42</v>
      </c>
      <c r="P777" s="6" t="s">
        <v>55</v>
      </c>
      <c r="Q777" s="8" t="s">
        <v>56</v>
      </c>
      <c r="R777" s="10" t="s">
        <v>2293</v>
      </c>
      <c r="S777" s="11" t="s">
        <v>4875</v>
      </c>
      <c r="T777" s="6"/>
      <c r="U777" s="28" t="str">
        <f>HYPERLINK("https://media.infra-m.ru/1789/1789844/cover/1789844.jpg", "Обложка")</f>
        <v>Обложка</v>
      </c>
      <c r="V777" s="28" t="str">
        <f>HYPERLINK("https://znanium.ru/catalog/product/1789844", "Ознакомиться")</f>
        <v>Ознакомиться</v>
      </c>
      <c r="W777" s="8" t="s">
        <v>140</v>
      </c>
      <c r="X777" s="6"/>
      <c r="Y777" s="6"/>
      <c r="Z777" s="6"/>
      <c r="AA777" s="6" t="s">
        <v>274</v>
      </c>
    </row>
    <row r="778" spans="1:27" s="4" customFormat="1" ht="51.95" customHeight="1">
      <c r="A778" s="5">
        <v>0</v>
      </c>
      <c r="B778" s="6" t="s">
        <v>4876</v>
      </c>
      <c r="C778" s="13">
        <v>884</v>
      </c>
      <c r="D778" s="8" t="s">
        <v>4877</v>
      </c>
      <c r="E778" s="8" t="s">
        <v>4878</v>
      </c>
      <c r="F778" s="8" t="s">
        <v>4879</v>
      </c>
      <c r="G778" s="6" t="s">
        <v>83</v>
      </c>
      <c r="H778" s="6" t="s">
        <v>52</v>
      </c>
      <c r="I778" s="8" t="s">
        <v>492</v>
      </c>
      <c r="J778" s="9">
        <v>1</v>
      </c>
      <c r="K778" s="9">
        <v>192</v>
      </c>
      <c r="L778" s="9">
        <v>2024</v>
      </c>
      <c r="M778" s="8" t="s">
        <v>4880</v>
      </c>
      <c r="N778" s="8" t="s">
        <v>74</v>
      </c>
      <c r="O778" s="8" t="s">
        <v>93</v>
      </c>
      <c r="P778" s="6" t="s">
        <v>55</v>
      </c>
      <c r="Q778" s="8" t="s">
        <v>207</v>
      </c>
      <c r="R778" s="10" t="s">
        <v>4422</v>
      </c>
      <c r="S778" s="11" t="s">
        <v>1463</v>
      </c>
      <c r="T778" s="6"/>
      <c r="U778" s="28" t="str">
        <f>HYPERLINK("https://media.infra-m.ru/2082/2082887/cover/2082887.jpg", "Обложка")</f>
        <v>Обложка</v>
      </c>
      <c r="V778" s="28" t="str">
        <f>HYPERLINK("https://znanium.ru/catalog/product/1218459", "Ознакомиться")</f>
        <v>Ознакомиться</v>
      </c>
      <c r="W778" s="8" t="s">
        <v>4881</v>
      </c>
      <c r="X778" s="6"/>
      <c r="Y778" s="6"/>
      <c r="Z778" s="6"/>
      <c r="AA778" s="6" t="s">
        <v>47</v>
      </c>
    </row>
    <row r="779" spans="1:27" s="4" customFormat="1" ht="51.95" customHeight="1">
      <c r="A779" s="5">
        <v>0</v>
      </c>
      <c r="B779" s="6" t="s">
        <v>4882</v>
      </c>
      <c r="C779" s="13">
        <v>734.9</v>
      </c>
      <c r="D779" s="8" t="s">
        <v>4883</v>
      </c>
      <c r="E779" s="8" t="s">
        <v>4884</v>
      </c>
      <c r="F779" s="8" t="s">
        <v>3811</v>
      </c>
      <c r="G779" s="6" t="s">
        <v>123</v>
      </c>
      <c r="H779" s="6" t="s">
        <v>528</v>
      </c>
      <c r="I779" s="8"/>
      <c r="J779" s="9">
        <v>1</v>
      </c>
      <c r="K779" s="9">
        <v>252</v>
      </c>
      <c r="L779" s="9">
        <v>2017</v>
      </c>
      <c r="M779" s="8" t="s">
        <v>4885</v>
      </c>
      <c r="N779" s="8" t="s">
        <v>74</v>
      </c>
      <c r="O779" s="8" t="s">
        <v>75</v>
      </c>
      <c r="P779" s="6" t="s">
        <v>55</v>
      </c>
      <c r="Q779" s="8" t="s">
        <v>56</v>
      </c>
      <c r="R779" s="10" t="s">
        <v>253</v>
      </c>
      <c r="S779" s="11" t="s">
        <v>4886</v>
      </c>
      <c r="T779" s="6"/>
      <c r="U779" s="28" t="str">
        <f>HYPERLINK("https://media.infra-m.ru/0895/0895218/cover/895218.jpg", "Обложка")</f>
        <v>Обложка</v>
      </c>
      <c r="V779" s="28" t="str">
        <f>HYPERLINK("https://znanium.ru/catalog/product/2053226", "Ознакомиться")</f>
        <v>Ознакомиться</v>
      </c>
      <c r="W779" s="8" t="s">
        <v>1005</v>
      </c>
      <c r="X779" s="6"/>
      <c r="Y779" s="6"/>
      <c r="Z779" s="6"/>
      <c r="AA779" s="6" t="s">
        <v>4887</v>
      </c>
    </row>
    <row r="780" spans="1:27" s="4" customFormat="1" ht="51.95" customHeight="1">
      <c r="A780" s="5">
        <v>0</v>
      </c>
      <c r="B780" s="6" t="s">
        <v>4888</v>
      </c>
      <c r="C780" s="7">
        <v>1150</v>
      </c>
      <c r="D780" s="8" t="s">
        <v>4889</v>
      </c>
      <c r="E780" s="8" t="s">
        <v>4890</v>
      </c>
      <c r="F780" s="8" t="s">
        <v>3825</v>
      </c>
      <c r="G780" s="6" t="s">
        <v>83</v>
      </c>
      <c r="H780" s="6" t="s">
        <v>38</v>
      </c>
      <c r="I780" s="8" t="s">
        <v>205</v>
      </c>
      <c r="J780" s="9">
        <v>1</v>
      </c>
      <c r="K780" s="9">
        <v>255</v>
      </c>
      <c r="L780" s="9">
        <v>2023</v>
      </c>
      <c r="M780" s="8" t="s">
        <v>4891</v>
      </c>
      <c r="N780" s="8" t="s">
        <v>74</v>
      </c>
      <c r="O780" s="8" t="s">
        <v>75</v>
      </c>
      <c r="P780" s="6" t="s">
        <v>55</v>
      </c>
      <c r="Q780" s="8" t="s">
        <v>207</v>
      </c>
      <c r="R780" s="10" t="s">
        <v>3769</v>
      </c>
      <c r="S780" s="11" t="s">
        <v>4892</v>
      </c>
      <c r="T780" s="6"/>
      <c r="U780" s="28" t="str">
        <f>HYPERLINK("https://media.infra-m.ru/1931/1931473/cover/1931473.jpg", "Обложка")</f>
        <v>Обложка</v>
      </c>
      <c r="V780" s="28" t="str">
        <f>HYPERLINK("https://znanium.ru/catalog/product/1931473", "Ознакомиться")</f>
        <v>Ознакомиться</v>
      </c>
      <c r="W780" s="8" t="s">
        <v>1005</v>
      </c>
      <c r="X780" s="6"/>
      <c r="Y780" s="6"/>
      <c r="Z780" s="6" t="s">
        <v>782</v>
      </c>
      <c r="AA780" s="6" t="s">
        <v>4893</v>
      </c>
    </row>
    <row r="781" spans="1:27" s="4" customFormat="1" ht="51.95" customHeight="1">
      <c r="A781" s="5">
        <v>0</v>
      </c>
      <c r="B781" s="6" t="s">
        <v>4894</v>
      </c>
      <c r="C781" s="7">
        <v>1220</v>
      </c>
      <c r="D781" s="8" t="s">
        <v>4895</v>
      </c>
      <c r="E781" s="8" t="s">
        <v>4896</v>
      </c>
      <c r="F781" s="8" t="s">
        <v>4897</v>
      </c>
      <c r="G781" s="6" t="s">
        <v>83</v>
      </c>
      <c r="H781" s="6" t="s">
        <v>52</v>
      </c>
      <c r="I781" s="8" t="s">
        <v>164</v>
      </c>
      <c r="J781" s="9">
        <v>1</v>
      </c>
      <c r="K781" s="9">
        <v>272</v>
      </c>
      <c r="L781" s="9">
        <v>2023</v>
      </c>
      <c r="M781" s="8" t="s">
        <v>4898</v>
      </c>
      <c r="N781" s="8" t="s">
        <v>74</v>
      </c>
      <c r="O781" s="8" t="s">
        <v>109</v>
      </c>
      <c r="P781" s="6" t="s">
        <v>1469</v>
      </c>
      <c r="Q781" s="8" t="s">
        <v>56</v>
      </c>
      <c r="R781" s="10" t="s">
        <v>3268</v>
      </c>
      <c r="S781" s="11" t="s">
        <v>1770</v>
      </c>
      <c r="T781" s="6"/>
      <c r="U781" s="28" t="str">
        <f>HYPERLINK("https://media.infra-m.ru/1913/1913013/cover/1913013.jpg", "Обложка")</f>
        <v>Обложка</v>
      </c>
      <c r="V781" s="28" t="str">
        <f>HYPERLINK("https://znanium.ru/catalog/product/1913013", "Ознакомиться")</f>
        <v>Ознакомиться</v>
      </c>
      <c r="W781" s="8" t="s">
        <v>2165</v>
      </c>
      <c r="X781" s="6"/>
      <c r="Y781" s="6"/>
      <c r="Z781" s="6"/>
      <c r="AA781" s="6" t="s">
        <v>381</v>
      </c>
    </row>
    <row r="782" spans="1:27" s="4" customFormat="1" ht="51.95" customHeight="1">
      <c r="A782" s="5">
        <v>0</v>
      </c>
      <c r="B782" s="6" t="s">
        <v>4899</v>
      </c>
      <c r="C782" s="7">
        <v>1210</v>
      </c>
      <c r="D782" s="8" t="s">
        <v>4900</v>
      </c>
      <c r="E782" s="8" t="s">
        <v>4901</v>
      </c>
      <c r="F782" s="8" t="s">
        <v>4902</v>
      </c>
      <c r="G782" s="6" t="s">
        <v>83</v>
      </c>
      <c r="H782" s="6" t="s">
        <v>38</v>
      </c>
      <c r="I782" s="8" t="s">
        <v>553</v>
      </c>
      <c r="J782" s="9">
        <v>1</v>
      </c>
      <c r="K782" s="9">
        <v>218</v>
      </c>
      <c r="L782" s="9">
        <v>2024</v>
      </c>
      <c r="M782" s="8" t="s">
        <v>4903</v>
      </c>
      <c r="N782" s="8" t="s">
        <v>74</v>
      </c>
      <c r="O782" s="8" t="s">
        <v>75</v>
      </c>
      <c r="P782" s="6" t="s">
        <v>176</v>
      </c>
      <c r="Q782" s="8" t="s">
        <v>56</v>
      </c>
      <c r="R782" s="10" t="s">
        <v>4904</v>
      </c>
      <c r="S782" s="11" t="s">
        <v>4905</v>
      </c>
      <c r="T782" s="6"/>
      <c r="U782" s="28" t="str">
        <f>HYPERLINK("https://media.infra-m.ru/2104/2104871/cover/2104871.jpg", "Обложка")</f>
        <v>Обложка</v>
      </c>
      <c r="V782" s="28" t="str">
        <f>HYPERLINK("https://znanium.ru/catalog/product/2104871", "Ознакомиться")</f>
        <v>Ознакомиться</v>
      </c>
      <c r="W782" s="8" t="s">
        <v>557</v>
      </c>
      <c r="X782" s="6"/>
      <c r="Y782" s="6"/>
      <c r="Z782" s="6"/>
      <c r="AA782" s="6" t="s">
        <v>68</v>
      </c>
    </row>
    <row r="783" spans="1:27" s="4" customFormat="1" ht="42" customHeight="1">
      <c r="A783" s="5">
        <v>0</v>
      </c>
      <c r="B783" s="6" t="s">
        <v>4906</v>
      </c>
      <c r="C783" s="13">
        <v>780</v>
      </c>
      <c r="D783" s="8" t="s">
        <v>4907</v>
      </c>
      <c r="E783" s="8" t="s">
        <v>4908</v>
      </c>
      <c r="F783" s="8" t="s">
        <v>2075</v>
      </c>
      <c r="G783" s="6" t="s">
        <v>37</v>
      </c>
      <c r="H783" s="6" t="s">
        <v>38</v>
      </c>
      <c r="I783" s="8" t="s">
        <v>39</v>
      </c>
      <c r="J783" s="9">
        <v>1</v>
      </c>
      <c r="K783" s="9">
        <v>203</v>
      </c>
      <c r="L783" s="9">
        <v>2021</v>
      </c>
      <c r="M783" s="8" t="s">
        <v>4909</v>
      </c>
      <c r="N783" s="8" t="s">
        <v>41</v>
      </c>
      <c r="O783" s="8" t="s">
        <v>65</v>
      </c>
      <c r="P783" s="6" t="s">
        <v>43</v>
      </c>
      <c r="Q783" s="8" t="s">
        <v>44</v>
      </c>
      <c r="R783" s="10" t="s">
        <v>4910</v>
      </c>
      <c r="S783" s="11"/>
      <c r="T783" s="6"/>
      <c r="U783" s="28" t="str">
        <f>HYPERLINK("https://media.infra-m.ru/1213/1213788/cover/1213788.jpg", "Обложка")</f>
        <v>Обложка</v>
      </c>
      <c r="V783" s="28" t="str">
        <f>HYPERLINK("https://znanium.ru/catalog/product/1213788", "Ознакомиться")</f>
        <v>Ознакомиться</v>
      </c>
      <c r="W783" s="8" t="s">
        <v>1764</v>
      </c>
      <c r="X783" s="6"/>
      <c r="Y783" s="6"/>
      <c r="Z783" s="6"/>
      <c r="AA783" s="6" t="s">
        <v>1006</v>
      </c>
    </row>
    <row r="784" spans="1:27" s="4" customFormat="1" ht="51.95" customHeight="1">
      <c r="A784" s="5">
        <v>0</v>
      </c>
      <c r="B784" s="6" t="s">
        <v>4911</v>
      </c>
      <c r="C784" s="7">
        <v>2170</v>
      </c>
      <c r="D784" s="8" t="s">
        <v>4912</v>
      </c>
      <c r="E784" s="8" t="s">
        <v>4913</v>
      </c>
      <c r="F784" s="8" t="s">
        <v>4914</v>
      </c>
      <c r="G784" s="6" t="s">
        <v>123</v>
      </c>
      <c r="H784" s="6" t="s">
        <v>38</v>
      </c>
      <c r="I784" s="8" t="s">
        <v>155</v>
      </c>
      <c r="J784" s="9">
        <v>1</v>
      </c>
      <c r="K784" s="9">
        <v>471</v>
      </c>
      <c r="L784" s="9">
        <v>2024</v>
      </c>
      <c r="M784" s="8" t="s">
        <v>4915</v>
      </c>
      <c r="N784" s="8" t="s">
        <v>74</v>
      </c>
      <c r="O784" s="8" t="s">
        <v>109</v>
      </c>
      <c r="P784" s="6" t="s">
        <v>55</v>
      </c>
      <c r="Q784" s="8" t="s">
        <v>56</v>
      </c>
      <c r="R784" s="10" t="s">
        <v>4916</v>
      </c>
      <c r="S784" s="11" t="s">
        <v>4917</v>
      </c>
      <c r="T784" s="6"/>
      <c r="U784" s="28" t="str">
        <f>HYPERLINK("https://media.infra-m.ru/2096/2096837/cover/2096837.jpg", "Обложка")</f>
        <v>Обложка</v>
      </c>
      <c r="V784" s="28" t="str">
        <f>HYPERLINK("https://znanium.ru/catalog/product/2096837", "Ознакомиться")</f>
        <v>Ознакомиться</v>
      </c>
      <c r="W784" s="8" t="s">
        <v>1111</v>
      </c>
      <c r="X784" s="6"/>
      <c r="Y784" s="6"/>
      <c r="Z784" s="6"/>
      <c r="AA784" s="6" t="s">
        <v>2321</v>
      </c>
    </row>
    <row r="785" spans="1:27" s="4" customFormat="1" ht="51.95" customHeight="1">
      <c r="A785" s="5">
        <v>0</v>
      </c>
      <c r="B785" s="6" t="s">
        <v>4918</v>
      </c>
      <c r="C785" s="7">
        <v>1470</v>
      </c>
      <c r="D785" s="8" t="s">
        <v>4919</v>
      </c>
      <c r="E785" s="8" t="s">
        <v>4920</v>
      </c>
      <c r="F785" s="8" t="s">
        <v>4914</v>
      </c>
      <c r="G785" s="6" t="s">
        <v>83</v>
      </c>
      <c r="H785" s="6" t="s">
        <v>38</v>
      </c>
      <c r="I785" s="8" t="s">
        <v>164</v>
      </c>
      <c r="J785" s="9">
        <v>1</v>
      </c>
      <c r="K785" s="9">
        <v>430</v>
      </c>
      <c r="L785" s="9">
        <v>2020</v>
      </c>
      <c r="M785" s="8" t="s">
        <v>4921</v>
      </c>
      <c r="N785" s="8" t="s">
        <v>74</v>
      </c>
      <c r="O785" s="8" t="s">
        <v>109</v>
      </c>
      <c r="P785" s="6" t="s">
        <v>55</v>
      </c>
      <c r="Q785" s="8" t="s">
        <v>56</v>
      </c>
      <c r="R785" s="10" t="s">
        <v>4916</v>
      </c>
      <c r="S785" s="11" t="s">
        <v>4922</v>
      </c>
      <c r="T785" s="6"/>
      <c r="U785" s="28" t="str">
        <f>HYPERLINK("https://media.infra-m.ru/1030/1030680/cover/1030680.jpg", "Обложка")</f>
        <v>Обложка</v>
      </c>
      <c r="V785" s="28" t="str">
        <f>HYPERLINK("https://znanium.ru/catalog/product/2096837", "Ознакомиться")</f>
        <v>Ознакомиться</v>
      </c>
      <c r="W785" s="8" t="s">
        <v>1111</v>
      </c>
      <c r="X785" s="6"/>
      <c r="Y785" s="6"/>
      <c r="Z785" s="6"/>
      <c r="AA785" s="6" t="s">
        <v>2895</v>
      </c>
    </row>
    <row r="786" spans="1:27" s="4" customFormat="1" ht="42" customHeight="1">
      <c r="A786" s="5">
        <v>0</v>
      </c>
      <c r="B786" s="6" t="s">
        <v>4923</v>
      </c>
      <c r="C786" s="7">
        <v>1024.4000000000001</v>
      </c>
      <c r="D786" s="8" t="s">
        <v>4924</v>
      </c>
      <c r="E786" s="8" t="s">
        <v>4925</v>
      </c>
      <c r="F786" s="8" t="s">
        <v>72</v>
      </c>
      <c r="G786" s="6" t="s">
        <v>37</v>
      </c>
      <c r="H786" s="6" t="s">
        <v>38</v>
      </c>
      <c r="I786" s="8" t="s">
        <v>39</v>
      </c>
      <c r="J786" s="9">
        <v>1</v>
      </c>
      <c r="K786" s="9">
        <v>217</v>
      </c>
      <c r="L786" s="9">
        <v>2024</v>
      </c>
      <c r="M786" s="8" t="s">
        <v>4926</v>
      </c>
      <c r="N786" s="8" t="s">
        <v>74</v>
      </c>
      <c r="O786" s="8" t="s">
        <v>75</v>
      </c>
      <c r="P786" s="6" t="s">
        <v>43</v>
      </c>
      <c r="Q786" s="8" t="s">
        <v>44</v>
      </c>
      <c r="R786" s="10" t="s">
        <v>4927</v>
      </c>
      <c r="S786" s="11"/>
      <c r="T786" s="6"/>
      <c r="U786" s="28" t="str">
        <f>HYPERLINK("https://media.infra-m.ru/2080/2080498/cover/2080498.jpg", "Обложка")</f>
        <v>Обложка</v>
      </c>
      <c r="V786" s="28" t="str">
        <f>HYPERLINK("https://znanium.ru/catalog/product/2069322", "Ознакомиться")</f>
        <v>Ознакомиться</v>
      </c>
      <c r="W786" s="8" t="s">
        <v>77</v>
      </c>
      <c r="X786" s="6"/>
      <c r="Y786" s="6"/>
      <c r="Z786" s="6"/>
      <c r="AA786" s="6" t="s">
        <v>193</v>
      </c>
    </row>
    <row r="787" spans="1:27" s="4" customFormat="1" ht="44.1" customHeight="1">
      <c r="A787" s="5">
        <v>0</v>
      </c>
      <c r="B787" s="6" t="s">
        <v>4928</v>
      </c>
      <c r="C787" s="13">
        <v>724.9</v>
      </c>
      <c r="D787" s="8" t="s">
        <v>4929</v>
      </c>
      <c r="E787" s="8" t="s">
        <v>4930</v>
      </c>
      <c r="F787" s="8" t="s">
        <v>4931</v>
      </c>
      <c r="G787" s="6" t="s">
        <v>37</v>
      </c>
      <c r="H787" s="6" t="s">
        <v>38</v>
      </c>
      <c r="I787" s="8" t="s">
        <v>39</v>
      </c>
      <c r="J787" s="9">
        <v>1</v>
      </c>
      <c r="K787" s="9">
        <v>160</v>
      </c>
      <c r="L787" s="9">
        <v>2023</v>
      </c>
      <c r="M787" s="8" t="s">
        <v>4932</v>
      </c>
      <c r="N787" s="8" t="s">
        <v>74</v>
      </c>
      <c r="O787" s="8" t="s">
        <v>75</v>
      </c>
      <c r="P787" s="6" t="s">
        <v>43</v>
      </c>
      <c r="Q787" s="8" t="s">
        <v>44</v>
      </c>
      <c r="R787" s="10" t="s">
        <v>460</v>
      </c>
      <c r="S787" s="11"/>
      <c r="T787" s="6"/>
      <c r="U787" s="28" t="str">
        <f>HYPERLINK("https://media.infra-m.ru/1911/1911171/cover/1911171.jpg", "Обложка")</f>
        <v>Обложка</v>
      </c>
      <c r="V787" s="28" t="str">
        <f>HYPERLINK("https://znanium.ru/catalog/product/935507", "Ознакомиться")</f>
        <v>Ознакомиться</v>
      </c>
      <c r="W787" s="8" t="s">
        <v>77</v>
      </c>
      <c r="X787" s="6"/>
      <c r="Y787" s="6"/>
      <c r="Z787" s="6"/>
      <c r="AA787" s="6" t="s">
        <v>290</v>
      </c>
    </row>
    <row r="788" spans="1:27" s="4" customFormat="1" ht="42" customHeight="1">
      <c r="A788" s="5">
        <v>0</v>
      </c>
      <c r="B788" s="6" t="s">
        <v>4933</v>
      </c>
      <c r="C788" s="7">
        <v>1040</v>
      </c>
      <c r="D788" s="8" t="s">
        <v>4934</v>
      </c>
      <c r="E788" s="8" t="s">
        <v>4935</v>
      </c>
      <c r="F788" s="8" t="s">
        <v>4822</v>
      </c>
      <c r="G788" s="6" t="s">
        <v>123</v>
      </c>
      <c r="H788" s="6" t="s">
        <v>38</v>
      </c>
      <c r="I788" s="8" t="s">
        <v>39</v>
      </c>
      <c r="J788" s="9">
        <v>1</v>
      </c>
      <c r="K788" s="9">
        <v>217</v>
      </c>
      <c r="L788" s="9">
        <v>2024</v>
      </c>
      <c r="M788" s="8" t="s">
        <v>4936</v>
      </c>
      <c r="N788" s="8" t="s">
        <v>74</v>
      </c>
      <c r="O788" s="8" t="s">
        <v>93</v>
      </c>
      <c r="P788" s="6" t="s">
        <v>43</v>
      </c>
      <c r="Q788" s="8" t="s">
        <v>44</v>
      </c>
      <c r="R788" s="10" t="s">
        <v>4937</v>
      </c>
      <c r="S788" s="11"/>
      <c r="T788" s="6"/>
      <c r="U788" s="28" t="str">
        <f>HYPERLINK("https://media.infra-m.ru/2079/2079759/cover/2079759.jpg", "Обложка")</f>
        <v>Обложка</v>
      </c>
      <c r="V788" s="28" t="str">
        <f>HYPERLINK("https://znanium.ru/catalog/product/2079759", "Ознакомиться")</f>
        <v>Ознакомиться</v>
      </c>
      <c r="W788" s="8" t="s">
        <v>4825</v>
      </c>
      <c r="X788" s="6" t="s">
        <v>517</v>
      </c>
      <c r="Y788" s="6"/>
      <c r="Z788" s="6"/>
      <c r="AA788" s="6" t="s">
        <v>180</v>
      </c>
    </row>
    <row r="789" spans="1:27" s="4" customFormat="1" ht="51.95" customHeight="1">
      <c r="A789" s="5">
        <v>0</v>
      </c>
      <c r="B789" s="6" t="s">
        <v>4938</v>
      </c>
      <c r="C789" s="13">
        <v>824</v>
      </c>
      <c r="D789" s="8" t="s">
        <v>4939</v>
      </c>
      <c r="E789" s="8" t="s">
        <v>4940</v>
      </c>
      <c r="F789" s="8" t="s">
        <v>4941</v>
      </c>
      <c r="G789" s="6" t="s">
        <v>37</v>
      </c>
      <c r="H789" s="6" t="s">
        <v>52</v>
      </c>
      <c r="I789" s="8"/>
      <c r="J789" s="9">
        <v>1</v>
      </c>
      <c r="K789" s="9">
        <v>176</v>
      </c>
      <c r="L789" s="9">
        <v>2024</v>
      </c>
      <c r="M789" s="8" t="s">
        <v>4942</v>
      </c>
      <c r="N789" s="8" t="s">
        <v>74</v>
      </c>
      <c r="O789" s="8" t="s">
        <v>109</v>
      </c>
      <c r="P789" s="6" t="s">
        <v>43</v>
      </c>
      <c r="Q789" s="8" t="s">
        <v>44</v>
      </c>
      <c r="R789" s="10" t="s">
        <v>4943</v>
      </c>
      <c r="S789" s="11"/>
      <c r="T789" s="6"/>
      <c r="U789" s="28" t="str">
        <f>HYPERLINK("https://media.infra-m.ru/2102/2102669/cover/2102669.jpg", "Обложка")</f>
        <v>Обложка</v>
      </c>
      <c r="V789" s="12"/>
      <c r="W789" s="8" t="s">
        <v>4944</v>
      </c>
      <c r="X789" s="6"/>
      <c r="Y789" s="6"/>
      <c r="Z789" s="6"/>
      <c r="AA789" s="6" t="s">
        <v>96</v>
      </c>
    </row>
    <row r="790" spans="1:27" s="4" customFormat="1" ht="42" customHeight="1">
      <c r="A790" s="5">
        <v>0</v>
      </c>
      <c r="B790" s="6" t="s">
        <v>4945</v>
      </c>
      <c r="C790" s="13">
        <v>714.9</v>
      </c>
      <c r="D790" s="8" t="s">
        <v>4946</v>
      </c>
      <c r="E790" s="8" t="s">
        <v>4947</v>
      </c>
      <c r="F790" s="8" t="s">
        <v>2776</v>
      </c>
      <c r="G790" s="6" t="s">
        <v>123</v>
      </c>
      <c r="H790" s="6" t="s">
        <v>38</v>
      </c>
      <c r="I790" s="8" t="s">
        <v>325</v>
      </c>
      <c r="J790" s="9">
        <v>1</v>
      </c>
      <c r="K790" s="9">
        <v>203</v>
      </c>
      <c r="L790" s="9">
        <v>2020</v>
      </c>
      <c r="M790" s="8" t="s">
        <v>4948</v>
      </c>
      <c r="N790" s="8" t="s">
        <v>74</v>
      </c>
      <c r="O790" s="8" t="s">
        <v>93</v>
      </c>
      <c r="P790" s="6" t="s">
        <v>43</v>
      </c>
      <c r="Q790" s="8" t="s">
        <v>44</v>
      </c>
      <c r="R790" s="10" t="s">
        <v>1541</v>
      </c>
      <c r="S790" s="11"/>
      <c r="T790" s="6"/>
      <c r="U790" s="28" t="str">
        <f>HYPERLINK("https://media.infra-m.ru/1045/1045746/cover/1045746.jpg", "Обложка")</f>
        <v>Обложка</v>
      </c>
      <c r="V790" s="12"/>
      <c r="W790" s="8" t="s">
        <v>327</v>
      </c>
      <c r="X790" s="6"/>
      <c r="Y790" s="6"/>
      <c r="Z790" s="6"/>
      <c r="AA790" s="6" t="s">
        <v>2357</v>
      </c>
    </row>
    <row r="791" spans="1:27" s="4" customFormat="1" ht="42" customHeight="1">
      <c r="A791" s="5">
        <v>0</v>
      </c>
      <c r="B791" s="6" t="s">
        <v>4949</v>
      </c>
      <c r="C791" s="7">
        <v>1230</v>
      </c>
      <c r="D791" s="8" t="s">
        <v>4950</v>
      </c>
      <c r="E791" s="8" t="s">
        <v>4951</v>
      </c>
      <c r="F791" s="8" t="s">
        <v>4952</v>
      </c>
      <c r="G791" s="6" t="s">
        <v>37</v>
      </c>
      <c r="H791" s="6" t="s">
        <v>38</v>
      </c>
      <c r="I791" s="8" t="s">
        <v>325</v>
      </c>
      <c r="J791" s="9">
        <v>1</v>
      </c>
      <c r="K791" s="9">
        <v>261</v>
      </c>
      <c r="L791" s="9">
        <v>2024</v>
      </c>
      <c r="M791" s="8" t="s">
        <v>4953</v>
      </c>
      <c r="N791" s="8" t="s">
        <v>41</v>
      </c>
      <c r="O791" s="8" t="s">
        <v>54</v>
      </c>
      <c r="P791" s="6" t="s">
        <v>43</v>
      </c>
      <c r="Q791" s="8" t="s">
        <v>44</v>
      </c>
      <c r="R791" s="10" t="s">
        <v>4954</v>
      </c>
      <c r="S791" s="11"/>
      <c r="T791" s="6"/>
      <c r="U791" s="28" t="str">
        <f>HYPERLINK("https://media.infra-m.ru/2122/2122436/cover/2122436.jpg", "Обложка")</f>
        <v>Обложка</v>
      </c>
      <c r="V791" s="28" t="str">
        <f>HYPERLINK("https://znanium.ru/catalog/product/2122436", "Ознакомиться")</f>
        <v>Ознакомиться</v>
      </c>
      <c r="W791" s="8" t="s">
        <v>327</v>
      </c>
      <c r="X791" s="6"/>
      <c r="Y791" s="6"/>
      <c r="Z791" s="6"/>
      <c r="AA791" s="6" t="s">
        <v>141</v>
      </c>
    </row>
    <row r="792" spans="1:27" s="4" customFormat="1" ht="42" customHeight="1">
      <c r="A792" s="5">
        <v>0</v>
      </c>
      <c r="B792" s="6" t="s">
        <v>4955</v>
      </c>
      <c r="C792" s="13">
        <v>640</v>
      </c>
      <c r="D792" s="8" t="s">
        <v>4956</v>
      </c>
      <c r="E792" s="8" t="s">
        <v>4957</v>
      </c>
      <c r="F792" s="8" t="s">
        <v>3386</v>
      </c>
      <c r="G792" s="6" t="s">
        <v>37</v>
      </c>
      <c r="H792" s="6" t="s">
        <v>38</v>
      </c>
      <c r="I792" s="8" t="s">
        <v>39</v>
      </c>
      <c r="J792" s="9">
        <v>1</v>
      </c>
      <c r="K792" s="9">
        <v>168</v>
      </c>
      <c r="L792" s="9">
        <v>2021</v>
      </c>
      <c r="M792" s="8" t="s">
        <v>4958</v>
      </c>
      <c r="N792" s="8" t="s">
        <v>41</v>
      </c>
      <c r="O792" s="8" t="s">
        <v>54</v>
      </c>
      <c r="P792" s="6" t="s">
        <v>43</v>
      </c>
      <c r="Q792" s="8" t="s">
        <v>44</v>
      </c>
      <c r="R792" s="10" t="s">
        <v>1541</v>
      </c>
      <c r="S792" s="11"/>
      <c r="T792" s="6"/>
      <c r="U792" s="28" t="str">
        <f>HYPERLINK("https://media.infra-m.ru/1491/1491287/cover/1491287.jpg", "Обложка")</f>
        <v>Обложка</v>
      </c>
      <c r="V792" s="28" t="str">
        <f>HYPERLINK("https://znanium.ru/catalog/product/1491287", "Ознакомиться")</f>
        <v>Ознакомиться</v>
      </c>
      <c r="W792" s="8" t="s">
        <v>355</v>
      </c>
      <c r="X792" s="6"/>
      <c r="Y792" s="6"/>
      <c r="Z792" s="6"/>
      <c r="AA792" s="6" t="s">
        <v>47</v>
      </c>
    </row>
    <row r="793" spans="1:27" s="4" customFormat="1" ht="44.1" customHeight="1">
      <c r="A793" s="5">
        <v>0</v>
      </c>
      <c r="B793" s="6" t="s">
        <v>4959</v>
      </c>
      <c r="C793" s="13">
        <v>894.9</v>
      </c>
      <c r="D793" s="8" t="s">
        <v>4960</v>
      </c>
      <c r="E793" s="8" t="s">
        <v>4961</v>
      </c>
      <c r="F793" s="8" t="s">
        <v>4962</v>
      </c>
      <c r="G793" s="6" t="s">
        <v>37</v>
      </c>
      <c r="H793" s="6" t="s">
        <v>38</v>
      </c>
      <c r="I793" s="8" t="s">
        <v>39</v>
      </c>
      <c r="J793" s="9">
        <v>1</v>
      </c>
      <c r="K793" s="9">
        <v>198</v>
      </c>
      <c r="L793" s="9">
        <v>2023</v>
      </c>
      <c r="M793" s="8" t="s">
        <v>4963</v>
      </c>
      <c r="N793" s="8" t="s">
        <v>74</v>
      </c>
      <c r="O793" s="8" t="s">
        <v>75</v>
      </c>
      <c r="P793" s="6" t="s">
        <v>43</v>
      </c>
      <c r="Q793" s="8" t="s">
        <v>44</v>
      </c>
      <c r="R793" s="10" t="s">
        <v>3006</v>
      </c>
      <c r="S793" s="11"/>
      <c r="T793" s="6"/>
      <c r="U793" s="28" t="str">
        <f>HYPERLINK("https://media.infra-m.ru/1976/1976149/cover/1976149.jpg", "Обложка")</f>
        <v>Обложка</v>
      </c>
      <c r="V793" s="28" t="str">
        <f>HYPERLINK("https://znanium.ru/catalog/product/1044190", "Ознакомиться")</f>
        <v>Ознакомиться</v>
      </c>
      <c r="W793" s="8" t="s">
        <v>273</v>
      </c>
      <c r="X793" s="6"/>
      <c r="Y793" s="6"/>
      <c r="Z793" s="6"/>
      <c r="AA793" s="6" t="s">
        <v>193</v>
      </c>
    </row>
    <row r="794" spans="1:27" s="4" customFormat="1" ht="42" customHeight="1">
      <c r="A794" s="5">
        <v>0</v>
      </c>
      <c r="B794" s="6" t="s">
        <v>4964</v>
      </c>
      <c r="C794" s="13">
        <v>520</v>
      </c>
      <c r="D794" s="8" t="s">
        <v>4965</v>
      </c>
      <c r="E794" s="8" t="s">
        <v>4966</v>
      </c>
      <c r="F794" s="8" t="s">
        <v>4967</v>
      </c>
      <c r="G794" s="6" t="s">
        <v>37</v>
      </c>
      <c r="H794" s="6" t="s">
        <v>38</v>
      </c>
      <c r="I794" s="8" t="s">
        <v>39</v>
      </c>
      <c r="J794" s="9">
        <v>1</v>
      </c>
      <c r="K794" s="9">
        <v>89</v>
      </c>
      <c r="L794" s="9">
        <v>2024</v>
      </c>
      <c r="M794" s="8" t="s">
        <v>4968</v>
      </c>
      <c r="N794" s="8" t="s">
        <v>74</v>
      </c>
      <c r="O794" s="8" t="s">
        <v>109</v>
      </c>
      <c r="P794" s="6" t="s">
        <v>43</v>
      </c>
      <c r="Q794" s="8" t="s">
        <v>44</v>
      </c>
      <c r="R794" s="10" t="s">
        <v>4969</v>
      </c>
      <c r="S794" s="11"/>
      <c r="T794" s="6"/>
      <c r="U794" s="28" t="str">
        <f>HYPERLINK("https://media.infra-m.ru/2063/2063434/cover/2063434.jpg", "Обложка")</f>
        <v>Обложка</v>
      </c>
      <c r="V794" s="28" t="str">
        <f>HYPERLINK("https://znanium.ru/catalog/product/2063434", "Ознакомиться")</f>
        <v>Ознакомиться</v>
      </c>
      <c r="W794" s="8" t="s">
        <v>1028</v>
      </c>
      <c r="X794" s="6"/>
      <c r="Y794" s="6"/>
      <c r="Z794" s="6"/>
      <c r="AA794" s="6" t="s">
        <v>364</v>
      </c>
    </row>
    <row r="795" spans="1:27" s="4" customFormat="1" ht="51.95" customHeight="1">
      <c r="A795" s="5">
        <v>0</v>
      </c>
      <c r="B795" s="6" t="s">
        <v>4970</v>
      </c>
      <c r="C795" s="13">
        <v>860</v>
      </c>
      <c r="D795" s="8" t="s">
        <v>4971</v>
      </c>
      <c r="E795" s="8" t="s">
        <v>4972</v>
      </c>
      <c r="F795" s="8" t="s">
        <v>4973</v>
      </c>
      <c r="G795" s="6" t="s">
        <v>83</v>
      </c>
      <c r="H795" s="6" t="s">
        <v>38</v>
      </c>
      <c r="I795" s="8" t="s">
        <v>155</v>
      </c>
      <c r="J795" s="9">
        <v>1</v>
      </c>
      <c r="K795" s="9">
        <v>178</v>
      </c>
      <c r="L795" s="9">
        <v>2024</v>
      </c>
      <c r="M795" s="8" t="s">
        <v>4974</v>
      </c>
      <c r="N795" s="8" t="s">
        <v>41</v>
      </c>
      <c r="O795" s="8" t="s">
        <v>65</v>
      </c>
      <c r="P795" s="6" t="s">
        <v>55</v>
      </c>
      <c r="Q795" s="8" t="s">
        <v>56</v>
      </c>
      <c r="R795" s="10" t="s">
        <v>4975</v>
      </c>
      <c r="S795" s="11" t="s">
        <v>4976</v>
      </c>
      <c r="T795" s="6"/>
      <c r="U795" s="28" t="str">
        <f>HYPERLINK("https://media.infra-m.ru/2155/2155015/cover/2155015.jpg", "Обложка")</f>
        <v>Обложка</v>
      </c>
      <c r="V795" s="28" t="str">
        <f>HYPERLINK("https://znanium.ru/catalog/product/2155015", "Ознакомиться")</f>
        <v>Ознакомиться</v>
      </c>
      <c r="W795" s="8" t="s">
        <v>1093</v>
      </c>
      <c r="X795" s="6"/>
      <c r="Y795" s="6"/>
      <c r="Z795" s="6"/>
      <c r="AA795" s="6" t="s">
        <v>141</v>
      </c>
    </row>
    <row r="796" spans="1:27" s="4" customFormat="1" ht="42" customHeight="1">
      <c r="A796" s="5">
        <v>0</v>
      </c>
      <c r="B796" s="6" t="s">
        <v>4977</v>
      </c>
      <c r="C796" s="7">
        <v>1350</v>
      </c>
      <c r="D796" s="8" t="s">
        <v>4978</v>
      </c>
      <c r="E796" s="8" t="s">
        <v>4979</v>
      </c>
      <c r="F796" s="8" t="s">
        <v>4980</v>
      </c>
      <c r="G796" s="6" t="s">
        <v>83</v>
      </c>
      <c r="H796" s="6" t="s">
        <v>38</v>
      </c>
      <c r="I796" s="8" t="s">
        <v>155</v>
      </c>
      <c r="J796" s="9">
        <v>1</v>
      </c>
      <c r="K796" s="9">
        <v>287</v>
      </c>
      <c r="L796" s="9">
        <v>2024</v>
      </c>
      <c r="M796" s="8" t="s">
        <v>4981</v>
      </c>
      <c r="N796" s="8" t="s">
        <v>41</v>
      </c>
      <c r="O796" s="8" t="s">
        <v>54</v>
      </c>
      <c r="P796" s="6" t="s">
        <v>176</v>
      </c>
      <c r="Q796" s="8" t="s">
        <v>56</v>
      </c>
      <c r="R796" s="10" t="s">
        <v>4982</v>
      </c>
      <c r="S796" s="11"/>
      <c r="T796" s="6"/>
      <c r="U796" s="28" t="str">
        <f>HYPERLINK("https://media.infra-m.ru/2104/2104870/cover/2104870.jpg", "Обложка")</f>
        <v>Обложка</v>
      </c>
      <c r="V796" s="28" t="str">
        <f>HYPERLINK("https://znanium.ru/catalog/product/2104870", "Ознакомиться")</f>
        <v>Ознакомиться</v>
      </c>
      <c r="W796" s="8" t="s">
        <v>4983</v>
      </c>
      <c r="X796" s="6"/>
      <c r="Y796" s="6"/>
      <c r="Z796" s="6"/>
      <c r="AA796" s="6" t="s">
        <v>111</v>
      </c>
    </row>
    <row r="797" spans="1:27" s="4" customFormat="1" ht="51.95" customHeight="1">
      <c r="A797" s="5">
        <v>0</v>
      </c>
      <c r="B797" s="6" t="s">
        <v>4984</v>
      </c>
      <c r="C797" s="13">
        <v>754</v>
      </c>
      <c r="D797" s="8" t="s">
        <v>4985</v>
      </c>
      <c r="E797" s="8" t="s">
        <v>4986</v>
      </c>
      <c r="F797" s="8" t="s">
        <v>4987</v>
      </c>
      <c r="G797" s="6" t="s">
        <v>37</v>
      </c>
      <c r="H797" s="6" t="s">
        <v>38</v>
      </c>
      <c r="I797" s="8" t="s">
        <v>39</v>
      </c>
      <c r="J797" s="9">
        <v>1</v>
      </c>
      <c r="K797" s="9">
        <v>160</v>
      </c>
      <c r="L797" s="9">
        <v>2024</v>
      </c>
      <c r="M797" s="8" t="s">
        <v>4988</v>
      </c>
      <c r="N797" s="8" t="s">
        <v>74</v>
      </c>
      <c r="O797" s="8" t="s">
        <v>75</v>
      </c>
      <c r="P797" s="6" t="s">
        <v>43</v>
      </c>
      <c r="Q797" s="8" t="s">
        <v>44</v>
      </c>
      <c r="R797" s="10" t="s">
        <v>4989</v>
      </c>
      <c r="S797" s="11"/>
      <c r="T797" s="6"/>
      <c r="U797" s="28" t="str">
        <f>HYPERLINK("https://media.infra-m.ru/2134/2134158/cover/2134158.jpg", "Обложка")</f>
        <v>Обложка</v>
      </c>
      <c r="V797" s="28" t="str">
        <f>HYPERLINK("https://znanium.ru/catalog/product/1010058", "Ознакомиться")</f>
        <v>Ознакомиться</v>
      </c>
      <c r="W797" s="8" t="s">
        <v>2765</v>
      </c>
      <c r="X797" s="6"/>
      <c r="Y797" s="6"/>
      <c r="Z797" s="6"/>
      <c r="AA797" s="6" t="s">
        <v>676</v>
      </c>
    </row>
    <row r="798" spans="1:27" s="4" customFormat="1" ht="51.95" customHeight="1">
      <c r="A798" s="5">
        <v>0</v>
      </c>
      <c r="B798" s="6" t="s">
        <v>4990</v>
      </c>
      <c r="C798" s="7">
        <v>1107</v>
      </c>
      <c r="D798" s="8" t="s">
        <v>4991</v>
      </c>
      <c r="E798" s="8" t="s">
        <v>4992</v>
      </c>
      <c r="F798" s="8" t="s">
        <v>4993</v>
      </c>
      <c r="G798" s="6" t="s">
        <v>37</v>
      </c>
      <c r="H798" s="6" t="s">
        <v>38</v>
      </c>
      <c r="I798" s="8" t="s">
        <v>155</v>
      </c>
      <c r="J798" s="9">
        <v>1</v>
      </c>
      <c r="K798" s="9">
        <v>116</v>
      </c>
      <c r="L798" s="9">
        <v>2023</v>
      </c>
      <c r="M798" s="8" t="s">
        <v>4994</v>
      </c>
      <c r="N798" s="8" t="s">
        <v>74</v>
      </c>
      <c r="O798" s="8" t="s">
        <v>394</v>
      </c>
      <c r="P798" s="6" t="s">
        <v>176</v>
      </c>
      <c r="Q798" s="8" t="s">
        <v>177</v>
      </c>
      <c r="R798" s="10" t="s">
        <v>4995</v>
      </c>
      <c r="S798" s="11" t="s">
        <v>4996</v>
      </c>
      <c r="T798" s="6"/>
      <c r="U798" s="28" t="str">
        <f>HYPERLINK("https://media.infra-m.ru/2130/2130133/cover/2130133.jpg", "Обложка")</f>
        <v>Обложка</v>
      </c>
      <c r="V798" s="28" t="str">
        <f>HYPERLINK("https://znanium.ru/catalog/product/2129210", "Ознакомиться")</f>
        <v>Ознакомиться</v>
      </c>
      <c r="W798" s="8" t="s">
        <v>1530</v>
      </c>
      <c r="X798" s="6"/>
      <c r="Y798" s="6"/>
      <c r="Z798" s="6"/>
      <c r="AA798" s="6" t="s">
        <v>193</v>
      </c>
    </row>
    <row r="799" spans="1:27" s="4" customFormat="1" ht="51.95" customHeight="1">
      <c r="A799" s="5">
        <v>0</v>
      </c>
      <c r="B799" s="6" t="s">
        <v>4997</v>
      </c>
      <c r="C799" s="13">
        <v>940</v>
      </c>
      <c r="D799" s="8" t="s">
        <v>4998</v>
      </c>
      <c r="E799" s="8" t="s">
        <v>4999</v>
      </c>
      <c r="F799" s="8" t="s">
        <v>5000</v>
      </c>
      <c r="G799" s="6" t="s">
        <v>83</v>
      </c>
      <c r="H799" s="6" t="s">
        <v>38</v>
      </c>
      <c r="I799" s="8" t="s">
        <v>39</v>
      </c>
      <c r="J799" s="9">
        <v>1</v>
      </c>
      <c r="K799" s="9">
        <v>251</v>
      </c>
      <c r="L799" s="9">
        <v>2020</v>
      </c>
      <c r="M799" s="8" t="s">
        <v>5001</v>
      </c>
      <c r="N799" s="8" t="s">
        <v>41</v>
      </c>
      <c r="O799" s="8" t="s">
        <v>65</v>
      </c>
      <c r="P799" s="6" t="s">
        <v>43</v>
      </c>
      <c r="Q799" s="8" t="s">
        <v>44</v>
      </c>
      <c r="R799" s="10" t="s">
        <v>5002</v>
      </c>
      <c r="S799" s="11"/>
      <c r="T799" s="6"/>
      <c r="U799" s="28" t="str">
        <f>HYPERLINK("https://media.infra-m.ru/1053/1053703/cover/1053703.jpg", "Обложка")</f>
        <v>Обложка</v>
      </c>
      <c r="V799" s="28" t="str">
        <f>HYPERLINK("https://znanium.ru/catalog/product/1053703", "Ознакомиться")</f>
        <v>Ознакомиться</v>
      </c>
      <c r="W799" s="8" t="s">
        <v>363</v>
      </c>
      <c r="X799" s="6"/>
      <c r="Y799" s="6"/>
      <c r="Z799" s="6"/>
      <c r="AA799" s="6" t="s">
        <v>68</v>
      </c>
    </row>
    <row r="800" spans="1:27" s="4" customFormat="1" ht="51.95" customHeight="1">
      <c r="A800" s="5">
        <v>0</v>
      </c>
      <c r="B800" s="6" t="s">
        <v>5003</v>
      </c>
      <c r="C800" s="7">
        <v>1080</v>
      </c>
      <c r="D800" s="8" t="s">
        <v>5004</v>
      </c>
      <c r="E800" s="8" t="s">
        <v>5005</v>
      </c>
      <c r="F800" s="8" t="s">
        <v>5006</v>
      </c>
      <c r="G800" s="6" t="s">
        <v>83</v>
      </c>
      <c r="H800" s="6" t="s">
        <v>38</v>
      </c>
      <c r="I800" s="8" t="s">
        <v>155</v>
      </c>
      <c r="J800" s="9">
        <v>1</v>
      </c>
      <c r="K800" s="9">
        <v>233</v>
      </c>
      <c r="L800" s="9">
        <v>2023</v>
      </c>
      <c r="M800" s="8" t="s">
        <v>5007</v>
      </c>
      <c r="N800" s="8" t="s">
        <v>41</v>
      </c>
      <c r="O800" s="8" t="s">
        <v>54</v>
      </c>
      <c r="P800" s="6" t="s">
        <v>55</v>
      </c>
      <c r="Q800" s="8" t="s">
        <v>177</v>
      </c>
      <c r="R800" s="10" t="s">
        <v>5008</v>
      </c>
      <c r="S800" s="11" t="s">
        <v>5009</v>
      </c>
      <c r="T800" s="6"/>
      <c r="U800" s="28" t="str">
        <f>HYPERLINK("https://media.infra-m.ru/2036/2036510/cover/2036510.jpg", "Обложка")</f>
        <v>Обложка</v>
      </c>
      <c r="V800" s="28" t="str">
        <f>HYPERLINK("https://znanium.ru/catalog/product/1096082", "Ознакомиться")</f>
        <v>Ознакомиться</v>
      </c>
      <c r="W800" s="8" t="s">
        <v>1035</v>
      </c>
      <c r="X800" s="6"/>
      <c r="Y800" s="6"/>
      <c r="Z800" s="6"/>
      <c r="AA800" s="6" t="s">
        <v>103</v>
      </c>
    </row>
    <row r="801" spans="1:27" s="4" customFormat="1" ht="51.95" customHeight="1">
      <c r="A801" s="5">
        <v>0</v>
      </c>
      <c r="B801" s="6" t="s">
        <v>5010</v>
      </c>
      <c r="C801" s="13">
        <v>784.9</v>
      </c>
      <c r="D801" s="8" t="s">
        <v>5011</v>
      </c>
      <c r="E801" s="8" t="s">
        <v>5012</v>
      </c>
      <c r="F801" s="8" t="s">
        <v>1768</v>
      </c>
      <c r="G801" s="6" t="s">
        <v>83</v>
      </c>
      <c r="H801" s="6" t="s">
        <v>38</v>
      </c>
      <c r="I801" s="8" t="s">
        <v>164</v>
      </c>
      <c r="J801" s="9">
        <v>1</v>
      </c>
      <c r="K801" s="9">
        <v>174</v>
      </c>
      <c r="L801" s="9">
        <v>2023</v>
      </c>
      <c r="M801" s="8" t="s">
        <v>5013</v>
      </c>
      <c r="N801" s="8" t="s">
        <v>41</v>
      </c>
      <c r="O801" s="8" t="s">
        <v>65</v>
      </c>
      <c r="P801" s="6" t="s">
        <v>176</v>
      </c>
      <c r="Q801" s="8" t="s">
        <v>56</v>
      </c>
      <c r="R801" s="10" t="s">
        <v>5014</v>
      </c>
      <c r="S801" s="11" t="s">
        <v>5015</v>
      </c>
      <c r="T801" s="6"/>
      <c r="U801" s="28" t="str">
        <f>HYPERLINK("https://media.infra-m.ru/2001/2001675/cover/2001675.jpg", "Обложка")</f>
        <v>Обложка</v>
      </c>
      <c r="V801" s="28" t="str">
        <f>HYPERLINK("https://znanium.ru/catalog/product/988208", "Ознакомиться")</f>
        <v>Ознакомиться</v>
      </c>
      <c r="W801" s="8" t="s">
        <v>1771</v>
      </c>
      <c r="X801" s="6"/>
      <c r="Y801" s="6"/>
      <c r="Z801" s="6"/>
      <c r="AA801" s="6" t="s">
        <v>1772</v>
      </c>
    </row>
    <row r="802" spans="1:27" s="4" customFormat="1" ht="51.95" customHeight="1">
      <c r="A802" s="5">
        <v>0</v>
      </c>
      <c r="B802" s="6" t="s">
        <v>5016</v>
      </c>
      <c r="C802" s="13">
        <v>720</v>
      </c>
      <c r="D802" s="8" t="s">
        <v>5017</v>
      </c>
      <c r="E802" s="8" t="s">
        <v>5018</v>
      </c>
      <c r="F802" s="8" t="s">
        <v>5019</v>
      </c>
      <c r="G802" s="6" t="s">
        <v>83</v>
      </c>
      <c r="H802" s="6" t="s">
        <v>38</v>
      </c>
      <c r="I802" s="8" t="s">
        <v>884</v>
      </c>
      <c r="J802" s="9">
        <v>1</v>
      </c>
      <c r="K802" s="9">
        <v>194</v>
      </c>
      <c r="L802" s="9">
        <v>2020</v>
      </c>
      <c r="M802" s="8" t="s">
        <v>5020</v>
      </c>
      <c r="N802" s="8" t="s">
        <v>74</v>
      </c>
      <c r="O802" s="8" t="s">
        <v>109</v>
      </c>
      <c r="P802" s="6" t="s">
        <v>55</v>
      </c>
      <c r="Q802" s="8" t="s">
        <v>594</v>
      </c>
      <c r="R802" s="10" t="s">
        <v>4262</v>
      </c>
      <c r="S802" s="11" t="s">
        <v>5021</v>
      </c>
      <c r="T802" s="6"/>
      <c r="U802" s="28" t="str">
        <f>HYPERLINK("https://media.infra-m.ru/1082/1082912/cover/1082912.jpg", "Обложка")</f>
        <v>Обложка</v>
      </c>
      <c r="V802" s="28" t="str">
        <f>HYPERLINK("https://znanium.ru/catalog/product/1985783", "Ознакомиться")</f>
        <v>Ознакомиться</v>
      </c>
      <c r="W802" s="8" t="s">
        <v>4264</v>
      </c>
      <c r="X802" s="6"/>
      <c r="Y802" s="6"/>
      <c r="Z802" s="6"/>
      <c r="AA802" s="6" t="s">
        <v>78</v>
      </c>
    </row>
    <row r="803" spans="1:27" s="4" customFormat="1" ht="44.1" customHeight="1">
      <c r="A803" s="5">
        <v>0</v>
      </c>
      <c r="B803" s="6" t="s">
        <v>5022</v>
      </c>
      <c r="C803" s="7">
        <v>1134.9000000000001</v>
      </c>
      <c r="D803" s="8" t="s">
        <v>5023</v>
      </c>
      <c r="E803" s="8" t="s">
        <v>5024</v>
      </c>
      <c r="F803" s="8" t="s">
        <v>5025</v>
      </c>
      <c r="G803" s="6" t="s">
        <v>123</v>
      </c>
      <c r="H803" s="6" t="s">
        <v>52</v>
      </c>
      <c r="I803" s="8"/>
      <c r="J803" s="9">
        <v>1</v>
      </c>
      <c r="K803" s="9">
        <v>352</v>
      </c>
      <c r="L803" s="9">
        <v>2019</v>
      </c>
      <c r="M803" s="8" t="s">
        <v>5026</v>
      </c>
      <c r="N803" s="8" t="s">
        <v>41</v>
      </c>
      <c r="O803" s="8" t="s">
        <v>65</v>
      </c>
      <c r="P803" s="6" t="s">
        <v>55</v>
      </c>
      <c r="Q803" s="8" t="s">
        <v>1340</v>
      </c>
      <c r="R803" s="10" t="s">
        <v>5027</v>
      </c>
      <c r="S803" s="11"/>
      <c r="T803" s="6"/>
      <c r="U803" s="28" t="str">
        <f>HYPERLINK("https://media.infra-m.ru/0982/0982908/cover/982908.jpg", "Обложка")</f>
        <v>Обложка</v>
      </c>
      <c r="V803" s="28" t="str">
        <f>HYPERLINK("https://znanium.ru/catalog/product/1045332", "Ознакомиться")</f>
        <v>Ознакомиться</v>
      </c>
      <c r="W803" s="8" t="s">
        <v>5028</v>
      </c>
      <c r="X803" s="6"/>
      <c r="Y803" s="6"/>
      <c r="Z803" s="6"/>
      <c r="AA803" s="6" t="s">
        <v>169</v>
      </c>
    </row>
    <row r="804" spans="1:27" s="4" customFormat="1" ht="51.95" customHeight="1">
      <c r="A804" s="5">
        <v>0</v>
      </c>
      <c r="B804" s="6" t="s">
        <v>5029</v>
      </c>
      <c r="C804" s="7">
        <v>1660</v>
      </c>
      <c r="D804" s="8" t="s">
        <v>5030</v>
      </c>
      <c r="E804" s="8" t="s">
        <v>5031</v>
      </c>
      <c r="F804" s="8" t="s">
        <v>3023</v>
      </c>
      <c r="G804" s="6" t="s">
        <v>83</v>
      </c>
      <c r="H804" s="6" t="s">
        <v>38</v>
      </c>
      <c r="I804" s="8" t="s">
        <v>205</v>
      </c>
      <c r="J804" s="9">
        <v>1</v>
      </c>
      <c r="K804" s="9">
        <v>359</v>
      </c>
      <c r="L804" s="9">
        <v>2024</v>
      </c>
      <c r="M804" s="8" t="s">
        <v>5032</v>
      </c>
      <c r="N804" s="8" t="s">
        <v>74</v>
      </c>
      <c r="O804" s="8" t="s">
        <v>75</v>
      </c>
      <c r="P804" s="6" t="s">
        <v>176</v>
      </c>
      <c r="Q804" s="8" t="s">
        <v>207</v>
      </c>
      <c r="R804" s="10" t="s">
        <v>2843</v>
      </c>
      <c r="S804" s="11" t="s">
        <v>5033</v>
      </c>
      <c r="T804" s="6"/>
      <c r="U804" s="28" t="str">
        <f>HYPERLINK("https://media.infra-m.ru/2129/2129204/cover/2129204.jpg", "Обложка")</f>
        <v>Обложка</v>
      </c>
      <c r="V804" s="28" t="str">
        <f>HYPERLINK("https://znanium.ru/catalog/product/2129204", "Ознакомиться")</f>
        <v>Ознакомиться</v>
      </c>
      <c r="W804" s="8" t="s">
        <v>3027</v>
      </c>
      <c r="X804" s="6"/>
      <c r="Y804" s="6"/>
      <c r="Z804" s="6" t="s">
        <v>235</v>
      </c>
      <c r="AA804" s="6" t="s">
        <v>78</v>
      </c>
    </row>
    <row r="805" spans="1:27" s="4" customFormat="1" ht="51.95" customHeight="1">
      <c r="A805" s="5">
        <v>0</v>
      </c>
      <c r="B805" s="6" t="s">
        <v>5034</v>
      </c>
      <c r="C805" s="13">
        <v>364</v>
      </c>
      <c r="D805" s="8" t="s">
        <v>5035</v>
      </c>
      <c r="E805" s="8" t="s">
        <v>5036</v>
      </c>
      <c r="F805" s="8" t="s">
        <v>5037</v>
      </c>
      <c r="G805" s="6" t="s">
        <v>37</v>
      </c>
      <c r="H805" s="6" t="s">
        <v>38</v>
      </c>
      <c r="I805" s="8" t="s">
        <v>39</v>
      </c>
      <c r="J805" s="9">
        <v>1</v>
      </c>
      <c r="K805" s="9">
        <v>76</v>
      </c>
      <c r="L805" s="9">
        <v>2020</v>
      </c>
      <c r="M805" s="8" t="s">
        <v>5038</v>
      </c>
      <c r="N805" s="8" t="s">
        <v>74</v>
      </c>
      <c r="O805" s="8" t="s">
        <v>109</v>
      </c>
      <c r="P805" s="6" t="s">
        <v>43</v>
      </c>
      <c r="Q805" s="8" t="s">
        <v>44</v>
      </c>
      <c r="R805" s="10" t="s">
        <v>5039</v>
      </c>
      <c r="S805" s="11"/>
      <c r="T805" s="6"/>
      <c r="U805" s="28" t="str">
        <f>HYPERLINK("https://media.infra-m.ru/1044/1044585/cover/1044585.jpg", "Обложка")</f>
        <v>Обложка</v>
      </c>
      <c r="V805" s="28" t="str">
        <f>HYPERLINK("https://znanium.ru/catalog/product/2147707", "Ознакомиться")</f>
        <v>Ознакомиться</v>
      </c>
      <c r="W805" s="8" t="s">
        <v>5040</v>
      </c>
      <c r="X805" s="6"/>
      <c r="Y805" s="6"/>
      <c r="Z805" s="6"/>
      <c r="AA805" s="6" t="s">
        <v>68</v>
      </c>
    </row>
    <row r="806" spans="1:27" s="4" customFormat="1" ht="51.95" customHeight="1">
      <c r="A806" s="5">
        <v>0</v>
      </c>
      <c r="B806" s="6" t="s">
        <v>5041</v>
      </c>
      <c r="C806" s="13">
        <v>590</v>
      </c>
      <c r="D806" s="8" t="s">
        <v>5042</v>
      </c>
      <c r="E806" s="8" t="s">
        <v>5043</v>
      </c>
      <c r="F806" s="8" t="s">
        <v>5044</v>
      </c>
      <c r="G806" s="6" t="s">
        <v>37</v>
      </c>
      <c r="H806" s="6" t="s">
        <v>38</v>
      </c>
      <c r="I806" s="8" t="s">
        <v>39</v>
      </c>
      <c r="J806" s="9">
        <v>1</v>
      </c>
      <c r="K806" s="9">
        <v>128</v>
      </c>
      <c r="L806" s="9">
        <v>2024</v>
      </c>
      <c r="M806" s="8" t="s">
        <v>5045</v>
      </c>
      <c r="N806" s="8" t="s">
        <v>74</v>
      </c>
      <c r="O806" s="8" t="s">
        <v>93</v>
      </c>
      <c r="P806" s="6" t="s">
        <v>43</v>
      </c>
      <c r="Q806" s="8" t="s">
        <v>44</v>
      </c>
      <c r="R806" s="10" t="s">
        <v>5046</v>
      </c>
      <c r="S806" s="11"/>
      <c r="T806" s="6"/>
      <c r="U806" s="28" t="str">
        <f>HYPERLINK("https://media.infra-m.ru/2084/2084532/cover/2084532.jpg", "Обложка")</f>
        <v>Обложка</v>
      </c>
      <c r="V806" s="28" t="str">
        <f>HYPERLINK("https://znanium.ru/catalog/product/2084532", "Ознакомиться")</f>
        <v>Ознакомиться</v>
      </c>
      <c r="W806" s="8" t="s">
        <v>2726</v>
      </c>
      <c r="X806" s="6"/>
      <c r="Y806" s="6"/>
      <c r="Z806" s="6"/>
      <c r="AA806" s="6" t="s">
        <v>59</v>
      </c>
    </row>
    <row r="807" spans="1:27" s="4" customFormat="1" ht="51.95" customHeight="1">
      <c r="A807" s="5">
        <v>0</v>
      </c>
      <c r="B807" s="6" t="s">
        <v>5047</v>
      </c>
      <c r="C807" s="7">
        <v>1160</v>
      </c>
      <c r="D807" s="8" t="s">
        <v>5048</v>
      </c>
      <c r="E807" s="8" t="s">
        <v>5049</v>
      </c>
      <c r="F807" s="8" t="s">
        <v>5050</v>
      </c>
      <c r="G807" s="6" t="s">
        <v>83</v>
      </c>
      <c r="H807" s="6" t="s">
        <v>38</v>
      </c>
      <c r="I807" s="8" t="s">
        <v>164</v>
      </c>
      <c r="J807" s="9">
        <v>1</v>
      </c>
      <c r="K807" s="9">
        <v>400</v>
      </c>
      <c r="L807" s="9">
        <v>2018</v>
      </c>
      <c r="M807" s="8" t="s">
        <v>5051</v>
      </c>
      <c r="N807" s="8" t="s">
        <v>74</v>
      </c>
      <c r="O807" s="8" t="s">
        <v>109</v>
      </c>
      <c r="P807" s="6" t="s">
        <v>176</v>
      </c>
      <c r="Q807" s="8" t="s">
        <v>56</v>
      </c>
      <c r="R807" s="10" t="s">
        <v>5052</v>
      </c>
      <c r="S807" s="11" t="s">
        <v>5053</v>
      </c>
      <c r="T807" s="6"/>
      <c r="U807" s="28" t="str">
        <f>HYPERLINK("https://media.infra-m.ru/0935/0935305/cover/935305.jpg", "Обложка")</f>
        <v>Обложка</v>
      </c>
      <c r="V807" s="28" t="str">
        <f>HYPERLINK("https://znanium.ru/catalog/product/1913231", "Ознакомиться")</f>
        <v>Ознакомиться</v>
      </c>
      <c r="W807" s="8" t="s">
        <v>95</v>
      </c>
      <c r="X807" s="6"/>
      <c r="Y807" s="6"/>
      <c r="Z807" s="6"/>
      <c r="AA807" s="6" t="s">
        <v>96</v>
      </c>
    </row>
    <row r="808" spans="1:27" s="4" customFormat="1" ht="42" customHeight="1">
      <c r="A808" s="5">
        <v>0</v>
      </c>
      <c r="B808" s="6" t="s">
        <v>5054</v>
      </c>
      <c r="C808" s="7">
        <v>1320</v>
      </c>
      <c r="D808" s="8" t="s">
        <v>5055</v>
      </c>
      <c r="E808" s="8" t="s">
        <v>5056</v>
      </c>
      <c r="F808" s="8" t="s">
        <v>5057</v>
      </c>
      <c r="G808" s="6" t="s">
        <v>123</v>
      </c>
      <c r="H808" s="6" t="s">
        <v>38</v>
      </c>
      <c r="I808" s="8" t="s">
        <v>155</v>
      </c>
      <c r="J808" s="9">
        <v>1</v>
      </c>
      <c r="K808" s="9">
        <v>279</v>
      </c>
      <c r="L808" s="9">
        <v>2024</v>
      </c>
      <c r="M808" s="8" t="s">
        <v>5058</v>
      </c>
      <c r="N808" s="8" t="s">
        <v>74</v>
      </c>
      <c r="O808" s="8" t="s">
        <v>75</v>
      </c>
      <c r="P808" s="6" t="s">
        <v>55</v>
      </c>
      <c r="Q808" s="8" t="s">
        <v>56</v>
      </c>
      <c r="R808" s="10" t="s">
        <v>5059</v>
      </c>
      <c r="S808" s="11"/>
      <c r="T808" s="6"/>
      <c r="U808" s="28" t="str">
        <f>HYPERLINK("https://media.infra-m.ru/1846/1846129/cover/1846129.jpg", "Обложка")</f>
        <v>Обложка</v>
      </c>
      <c r="V808" s="28" t="str">
        <f>HYPERLINK("https://znanium.ru/catalog/product/1846129", "Ознакомиться")</f>
        <v>Ознакомиться</v>
      </c>
      <c r="W808" s="8" t="s">
        <v>5060</v>
      </c>
      <c r="X808" s="6" t="s">
        <v>179</v>
      </c>
      <c r="Y808" s="6"/>
      <c r="Z808" s="6"/>
      <c r="AA808" s="6" t="s">
        <v>180</v>
      </c>
    </row>
    <row r="809" spans="1:27" s="4" customFormat="1" ht="42" customHeight="1">
      <c r="A809" s="5">
        <v>0</v>
      </c>
      <c r="B809" s="6" t="s">
        <v>5061</v>
      </c>
      <c r="C809" s="7">
        <v>1400</v>
      </c>
      <c r="D809" s="8" t="s">
        <v>5062</v>
      </c>
      <c r="E809" s="8" t="s">
        <v>5063</v>
      </c>
      <c r="F809" s="8" t="s">
        <v>4039</v>
      </c>
      <c r="G809" s="6" t="s">
        <v>83</v>
      </c>
      <c r="H809" s="6" t="s">
        <v>38</v>
      </c>
      <c r="I809" s="8" t="s">
        <v>39</v>
      </c>
      <c r="J809" s="9">
        <v>1</v>
      </c>
      <c r="K809" s="9">
        <v>306</v>
      </c>
      <c r="L809" s="9">
        <v>2024</v>
      </c>
      <c r="M809" s="8" t="s">
        <v>5064</v>
      </c>
      <c r="N809" s="8" t="s">
        <v>74</v>
      </c>
      <c r="O809" s="8" t="s">
        <v>109</v>
      </c>
      <c r="P809" s="6" t="s">
        <v>43</v>
      </c>
      <c r="Q809" s="8" t="s">
        <v>44</v>
      </c>
      <c r="R809" s="10" t="s">
        <v>5065</v>
      </c>
      <c r="S809" s="11"/>
      <c r="T809" s="6"/>
      <c r="U809" s="28" t="str">
        <f>HYPERLINK("https://media.infra-m.ru/2118/2118167/cover/2118167.jpg", "Обложка")</f>
        <v>Обложка</v>
      </c>
      <c r="V809" s="28" t="str">
        <f>HYPERLINK("https://znanium.ru/catalog/product/2118167", "Ознакомиться")</f>
        <v>Ознакомиться</v>
      </c>
      <c r="W809" s="8" t="s">
        <v>833</v>
      </c>
      <c r="X809" s="6"/>
      <c r="Y809" s="6"/>
      <c r="Z809" s="6"/>
      <c r="AA809" s="6" t="s">
        <v>1772</v>
      </c>
    </row>
    <row r="810" spans="1:27" s="4" customFormat="1" ht="42" customHeight="1">
      <c r="A810" s="5">
        <v>0</v>
      </c>
      <c r="B810" s="6" t="s">
        <v>5066</v>
      </c>
      <c r="C810" s="7">
        <v>1020</v>
      </c>
      <c r="D810" s="8" t="s">
        <v>5067</v>
      </c>
      <c r="E810" s="8" t="s">
        <v>5068</v>
      </c>
      <c r="F810" s="8" t="s">
        <v>4039</v>
      </c>
      <c r="G810" s="6" t="s">
        <v>83</v>
      </c>
      <c r="H810" s="6" t="s">
        <v>38</v>
      </c>
      <c r="I810" s="8" t="s">
        <v>39</v>
      </c>
      <c r="J810" s="9">
        <v>1</v>
      </c>
      <c r="K810" s="9">
        <v>262</v>
      </c>
      <c r="L810" s="9">
        <v>2022</v>
      </c>
      <c r="M810" s="8" t="s">
        <v>5069</v>
      </c>
      <c r="N810" s="8" t="s">
        <v>74</v>
      </c>
      <c r="O810" s="8" t="s">
        <v>109</v>
      </c>
      <c r="P810" s="6" t="s">
        <v>43</v>
      </c>
      <c r="Q810" s="8" t="s">
        <v>44</v>
      </c>
      <c r="R810" s="10" t="s">
        <v>667</v>
      </c>
      <c r="S810" s="11"/>
      <c r="T810" s="6"/>
      <c r="U810" s="28" t="str">
        <f>HYPERLINK("https://media.infra-m.ru/1839/1839705/cover/1839705.jpg", "Обложка")</f>
        <v>Обложка</v>
      </c>
      <c r="V810" s="28" t="str">
        <f>HYPERLINK("https://znanium.ru/catalog/product/1839705", "Ознакомиться")</f>
        <v>Ознакомиться</v>
      </c>
      <c r="W810" s="8" t="s">
        <v>833</v>
      </c>
      <c r="X810" s="6"/>
      <c r="Y810" s="6"/>
      <c r="Z810" s="6"/>
      <c r="AA810" s="6" t="s">
        <v>381</v>
      </c>
    </row>
    <row r="811" spans="1:27" s="4" customFormat="1" ht="51.95" customHeight="1">
      <c r="A811" s="5">
        <v>0</v>
      </c>
      <c r="B811" s="6" t="s">
        <v>5070</v>
      </c>
      <c r="C811" s="13">
        <v>484</v>
      </c>
      <c r="D811" s="8" t="s">
        <v>5071</v>
      </c>
      <c r="E811" s="8" t="s">
        <v>5072</v>
      </c>
      <c r="F811" s="8" t="s">
        <v>5073</v>
      </c>
      <c r="G811" s="6" t="s">
        <v>37</v>
      </c>
      <c r="H811" s="6" t="s">
        <v>317</v>
      </c>
      <c r="I811" s="8" t="s">
        <v>155</v>
      </c>
      <c r="J811" s="9">
        <v>1</v>
      </c>
      <c r="K811" s="9">
        <v>95</v>
      </c>
      <c r="L811" s="9">
        <v>2024</v>
      </c>
      <c r="M811" s="8" t="s">
        <v>5074</v>
      </c>
      <c r="N811" s="8" t="s">
        <v>74</v>
      </c>
      <c r="O811" s="8" t="s">
        <v>109</v>
      </c>
      <c r="P811" s="6" t="s">
        <v>55</v>
      </c>
      <c r="Q811" s="8" t="s">
        <v>56</v>
      </c>
      <c r="R811" s="10" t="s">
        <v>5075</v>
      </c>
      <c r="S811" s="11"/>
      <c r="T811" s="6"/>
      <c r="U811" s="28" t="str">
        <f>HYPERLINK("https://media.infra-m.ru/2118/2118637/cover/2118637.jpg", "Обложка")</f>
        <v>Обложка</v>
      </c>
      <c r="V811" s="28" t="str">
        <f>HYPERLINK("https://znanium.ru/catalog/product/2116870", "Ознакомиться")</f>
        <v>Ознакомиться</v>
      </c>
      <c r="W811" s="8" t="s">
        <v>5076</v>
      </c>
      <c r="X811" s="6"/>
      <c r="Y811" s="6"/>
      <c r="Z811" s="6"/>
      <c r="AA811" s="6" t="s">
        <v>141</v>
      </c>
    </row>
    <row r="812" spans="1:27" s="4" customFormat="1" ht="42" customHeight="1">
      <c r="A812" s="5">
        <v>0</v>
      </c>
      <c r="B812" s="6" t="s">
        <v>5077</v>
      </c>
      <c r="C812" s="13">
        <v>650</v>
      </c>
      <c r="D812" s="8" t="s">
        <v>5078</v>
      </c>
      <c r="E812" s="8" t="s">
        <v>5079</v>
      </c>
      <c r="F812" s="8" t="s">
        <v>5080</v>
      </c>
      <c r="G812" s="6" t="s">
        <v>37</v>
      </c>
      <c r="H812" s="6" t="s">
        <v>317</v>
      </c>
      <c r="I812" s="8" t="s">
        <v>155</v>
      </c>
      <c r="J812" s="9">
        <v>1</v>
      </c>
      <c r="K812" s="9">
        <v>136</v>
      </c>
      <c r="L812" s="9">
        <v>2024</v>
      </c>
      <c r="M812" s="8" t="s">
        <v>5081</v>
      </c>
      <c r="N812" s="8" t="s">
        <v>74</v>
      </c>
      <c r="O812" s="8" t="s">
        <v>109</v>
      </c>
      <c r="P812" s="6" t="s">
        <v>55</v>
      </c>
      <c r="Q812" s="8" t="s">
        <v>187</v>
      </c>
      <c r="R812" s="10" t="s">
        <v>5082</v>
      </c>
      <c r="S812" s="11"/>
      <c r="T812" s="6"/>
      <c r="U812" s="28" t="str">
        <f>HYPERLINK("https://media.infra-m.ru/2089/2089368/cover/2089368.jpg", "Обложка")</f>
        <v>Обложка</v>
      </c>
      <c r="V812" s="28" t="str">
        <f>HYPERLINK("https://znanium.ru/catalog/product/2089368", "Ознакомиться")</f>
        <v>Ознакомиться</v>
      </c>
      <c r="W812" s="8" t="s">
        <v>5076</v>
      </c>
      <c r="X812" s="6"/>
      <c r="Y812" s="6"/>
      <c r="Z812" s="6"/>
      <c r="AA812" s="6" t="s">
        <v>141</v>
      </c>
    </row>
    <row r="813" spans="1:27" s="4" customFormat="1" ht="51.95" customHeight="1">
      <c r="A813" s="5">
        <v>0</v>
      </c>
      <c r="B813" s="6" t="s">
        <v>5083</v>
      </c>
      <c r="C813" s="7">
        <v>1284</v>
      </c>
      <c r="D813" s="8" t="s">
        <v>5084</v>
      </c>
      <c r="E813" s="8" t="s">
        <v>5085</v>
      </c>
      <c r="F813" s="8" t="s">
        <v>5086</v>
      </c>
      <c r="G813" s="6" t="s">
        <v>83</v>
      </c>
      <c r="H813" s="6" t="s">
        <v>38</v>
      </c>
      <c r="I813" s="8" t="s">
        <v>185</v>
      </c>
      <c r="J813" s="9">
        <v>1</v>
      </c>
      <c r="K813" s="9">
        <v>273</v>
      </c>
      <c r="L813" s="9">
        <v>2024</v>
      </c>
      <c r="M813" s="8" t="s">
        <v>5087</v>
      </c>
      <c r="N813" s="8" t="s">
        <v>74</v>
      </c>
      <c r="O813" s="8" t="s">
        <v>109</v>
      </c>
      <c r="P813" s="6" t="s">
        <v>55</v>
      </c>
      <c r="Q813" s="8" t="s">
        <v>187</v>
      </c>
      <c r="R813" s="10" t="s">
        <v>5088</v>
      </c>
      <c r="S813" s="11" t="s">
        <v>5089</v>
      </c>
      <c r="T813" s="6"/>
      <c r="U813" s="28" t="str">
        <f>HYPERLINK("https://media.infra-m.ru/2133/2133591/cover/2133591.jpg", "Обложка")</f>
        <v>Обложка</v>
      </c>
      <c r="V813" s="28" t="str">
        <f>HYPERLINK("https://znanium.ru/catalog/product/1911115", "Ознакомиться")</f>
        <v>Ознакомиться</v>
      </c>
      <c r="W813" s="8" t="s">
        <v>1472</v>
      </c>
      <c r="X813" s="6"/>
      <c r="Y813" s="6"/>
      <c r="Z813" s="6"/>
      <c r="AA813" s="6" t="s">
        <v>312</v>
      </c>
    </row>
    <row r="814" spans="1:27" s="4" customFormat="1" ht="51.95" customHeight="1">
      <c r="A814" s="5">
        <v>0</v>
      </c>
      <c r="B814" s="6" t="s">
        <v>5090</v>
      </c>
      <c r="C814" s="7">
        <v>1100</v>
      </c>
      <c r="D814" s="8" t="s">
        <v>5091</v>
      </c>
      <c r="E814" s="8" t="s">
        <v>5092</v>
      </c>
      <c r="F814" s="8" t="s">
        <v>4897</v>
      </c>
      <c r="G814" s="6" t="s">
        <v>37</v>
      </c>
      <c r="H814" s="6" t="s">
        <v>52</v>
      </c>
      <c r="I814" s="8" t="s">
        <v>155</v>
      </c>
      <c r="J814" s="9">
        <v>1</v>
      </c>
      <c r="K814" s="9">
        <v>240</v>
      </c>
      <c r="L814" s="9">
        <v>2024</v>
      </c>
      <c r="M814" s="8" t="s">
        <v>5093</v>
      </c>
      <c r="N814" s="8" t="s">
        <v>74</v>
      </c>
      <c r="O814" s="8" t="s">
        <v>109</v>
      </c>
      <c r="P814" s="6" t="s">
        <v>55</v>
      </c>
      <c r="Q814" s="8" t="s">
        <v>177</v>
      </c>
      <c r="R814" s="10" t="s">
        <v>1229</v>
      </c>
      <c r="S814" s="11" t="s">
        <v>5094</v>
      </c>
      <c r="T814" s="6"/>
      <c r="U814" s="28" t="str">
        <f>HYPERLINK("https://media.infra-m.ru/2057/2057645/cover/2057645.jpg", "Обложка")</f>
        <v>Обложка</v>
      </c>
      <c r="V814" s="28" t="str">
        <f>HYPERLINK("https://znanium.ru/catalog/product/2057645", "Ознакомиться")</f>
        <v>Ознакомиться</v>
      </c>
      <c r="W814" s="8" t="s">
        <v>2165</v>
      </c>
      <c r="X814" s="6"/>
      <c r="Y814" s="6"/>
      <c r="Z814" s="6"/>
      <c r="AA814" s="6" t="s">
        <v>381</v>
      </c>
    </row>
    <row r="815" spans="1:27" s="4" customFormat="1" ht="51.95" customHeight="1">
      <c r="A815" s="5">
        <v>0</v>
      </c>
      <c r="B815" s="6" t="s">
        <v>5095</v>
      </c>
      <c r="C815" s="7">
        <v>1514</v>
      </c>
      <c r="D815" s="8" t="s">
        <v>5096</v>
      </c>
      <c r="E815" s="8" t="s">
        <v>5097</v>
      </c>
      <c r="F815" s="8" t="s">
        <v>1583</v>
      </c>
      <c r="G815" s="6" t="s">
        <v>37</v>
      </c>
      <c r="H815" s="6" t="s">
        <v>38</v>
      </c>
      <c r="I815" s="8" t="s">
        <v>39</v>
      </c>
      <c r="J815" s="9">
        <v>1</v>
      </c>
      <c r="K815" s="9">
        <v>330</v>
      </c>
      <c r="L815" s="9">
        <v>2024</v>
      </c>
      <c r="M815" s="8" t="s">
        <v>5098</v>
      </c>
      <c r="N815" s="8" t="s">
        <v>74</v>
      </c>
      <c r="O815" s="8" t="s">
        <v>109</v>
      </c>
      <c r="P815" s="6" t="s">
        <v>43</v>
      </c>
      <c r="Q815" s="8" t="s">
        <v>44</v>
      </c>
      <c r="R815" s="10" t="s">
        <v>5099</v>
      </c>
      <c r="S815" s="11"/>
      <c r="T815" s="6" t="s">
        <v>190</v>
      </c>
      <c r="U815" s="28" t="str">
        <f>HYPERLINK("https://media.infra-m.ru/2103/2103131/cover/2103131.jpg", "Обложка")</f>
        <v>Обложка</v>
      </c>
      <c r="V815" s="28" t="str">
        <f>HYPERLINK("https://znanium.ru/catalog/product/1290960", "Ознакомиться")</f>
        <v>Ознакомиться</v>
      </c>
      <c r="W815" s="8" t="s">
        <v>1579</v>
      </c>
      <c r="X815" s="6"/>
      <c r="Y815" s="6"/>
      <c r="Z815" s="6"/>
      <c r="AA815" s="6" t="s">
        <v>59</v>
      </c>
    </row>
    <row r="816" spans="1:27" s="4" customFormat="1" ht="42" customHeight="1">
      <c r="A816" s="5">
        <v>0</v>
      </c>
      <c r="B816" s="6" t="s">
        <v>5100</v>
      </c>
      <c r="C816" s="13">
        <v>574.9</v>
      </c>
      <c r="D816" s="8" t="s">
        <v>5101</v>
      </c>
      <c r="E816" s="8" t="s">
        <v>5102</v>
      </c>
      <c r="F816" s="8" t="s">
        <v>5103</v>
      </c>
      <c r="G816" s="6" t="s">
        <v>123</v>
      </c>
      <c r="H816" s="6" t="s">
        <v>38</v>
      </c>
      <c r="I816" s="8" t="s">
        <v>39</v>
      </c>
      <c r="J816" s="9">
        <v>30</v>
      </c>
      <c r="K816" s="9">
        <v>186</v>
      </c>
      <c r="L816" s="9">
        <v>2018</v>
      </c>
      <c r="M816" s="8" t="s">
        <v>5104</v>
      </c>
      <c r="N816" s="8" t="s">
        <v>74</v>
      </c>
      <c r="O816" s="8" t="s">
        <v>109</v>
      </c>
      <c r="P816" s="6" t="s">
        <v>43</v>
      </c>
      <c r="Q816" s="8" t="s">
        <v>44</v>
      </c>
      <c r="R816" s="10" t="s">
        <v>667</v>
      </c>
      <c r="S816" s="11"/>
      <c r="T816" s="6"/>
      <c r="U816" s="28" t="str">
        <f>HYPERLINK("https://media.infra-m.ru/0935/0935565/cover/935565.jpg", "Обложка")</f>
        <v>Обложка</v>
      </c>
      <c r="V816" s="28" t="str">
        <f>HYPERLINK("https://znanium.ru/catalog/product/935565", "Ознакомиться")</f>
        <v>Ознакомиться</v>
      </c>
      <c r="W816" s="8"/>
      <c r="X816" s="6"/>
      <c r="Y816" s="6"/>
      <c r="Z816" s="6"/>
      <c r="AA816" s="6" t="s">
        <v>364</v>
      </c>
    </row>
    <row r="817" spans="1:27" s="4" customFormat="1" ht="51.95" customHeight="1">
      <c r="A817" s="5">
        <v>0</v>
      </c>
      <c r="B817" s="6" t="s">
        <v>5105</v>
      </c>
      <c r="C817" s="7">
        <v>1570</v>
      </c>
      <c r="D817" s="8" t="s">
        <v>5106</v>
      </c>
      <c r="E817" s="8" t="s">
        <v>5107</v>
      </c>
      <c r="F817" s="8" t="s">
        <v>1161</v>
      </c>
      <c r="G817" s="6" t="s">
        <v>83</v>
      </c>
      <c r="H817" s="6" t="s">
        <v>38</v>
      </c>
      <c r="I817" s="8" t="s">
        <v>155</v>
      </c>
      <c r="J817" s="9">
        <v>1</v>
      </c>
      <c r="K817" s="9">
        <v>334</v>
      </c>
      <c r="L817" s="9">
        <v>2024</v>
      </c>
      <c r="M817" s="8" t="s">
        <v>5108</v>
      </c>
      <c r="N817" s="8" t="s">
        <v>74</v>
      </c>
      <c r="O817" s="8" t="s">
        <v>109</v>
      </c>
      <c r="P817" s="6" t="s">
        <v>55</v>
      </c>
      <c r="Q817" s="8" t="s">
        <v>56</v>
      </c>
      <c r="R817" s="10" t="s">
        <v>5109</v>
      </c>
      <c r="S817" s="11" t="s">
        <v>5110</v>
      </c>
      <c r="T817" s="6"/>
      <c r="U817" s="28" t="str">
        <f>HYPERLINK("https://media.infra-m.ru/2142/2142361/cover/2142361.jpg", "Обложка")</f>
        <v>Обложка</v>
      </c>
      <c r="V817" s="28" t="str">
        <f>HYPERLINK("https://znanium.ru/catalog/product/2142361", "Ознакомиться")</f>
        <v>Ознакомиться</v>
      </c>
      <c r="W817" s="8" t="s">
        <v>1165</v>
      </c>
      <c r="X817" s="6"/>
      <c r="Y817" s="6"/>
      <c r="Z817" s="6"/>
      <c r="AA817" s="6" t="s">
        <v>150</v>
      </c>
    </row>
    <row r="818" spans="1:27" s="4" customFormat="1" ht="51.95" customHeight="1">
      <c r="A818" s="5">
        <v>0</v>
      </c>
      <c r="B818" s="6" t="s">
        <v>5111</v>
      </c>
      <c r="C818" s="7">
        <v>1050</v>
      </c>
      <c r="D818" s="8" t="s">
        <v>5112</v>
      </c>
      <c r="E818" s="8" t="s">
        <v>5113</v>
      </c>
      <c r="F818" s="8" t="s">
        <v>1161</v>
      </c>
      <c r="G818" s="6" t="s">
        <v>83</v>
      </c>
      <c r="H818" s="6" t="s">
        <v>470</v>
      </c>
      <c r="I818" s="8"/>
      <c r="J818" s="9">
        <v>1</v>
      </c>
      <c r="K818" s="9">
        <v>320</v>
      </c>
      <c r="L818" s="9">
        <v>2019</v>
      </c>
      <c r="M818" s="8" t="s">
        <v>5114</v>
      </c>
      <c r="N818" s="8" t="s">
        <v>74</v>
      </c>
      <c r="O818" s="8" t="s">
        <v>109</v>
      </c>
      <c r="P818" s="6" t="s">
        <v>55</v>
      </c>
      <c r="Q818" s="8" t="s">
        <v>56</v>
      </c>
      <c r="R818" s="10" t="s">
        <v>5109</v>
      </c>
      <c r="S818" s="11"/>
      <c r="T818" s="6"/>
      <c r="U818" s="28" t="str">
        <f>HYPERLINK("https://media.infra-m.ru/0982/0982130/cover/982130.jpg", "Обложка")</f>
        <v>Обложка</v>
      </c>
      <c r="V818" s="28" t="str">
        <f>HYPERLINK("https://znanium.ru/catalog/product/2142361", "Ознакомиться")</f>
        <v>Ознакомиться</v>
      </c>
      <c r="W818" s="8" t="s">
        <v>1165</v>
      </c>
      <c r="X818" s="6"/>
      <c r="Y818" s="6"/>
      <c r="Z818" s="6"/>
      <c r="AA818" s="6" t="s">
        <v>47</v>
      </c>
    </row>
    <row r="819" spans="1:27" s="4" customFormat="1" ht="51.95" customHeight="1">
      <c r="A819" s="5">
        <v>0</v>
      </c>
      <c r="B819" s="6" t="s">
        <v>5115</v>
      </c>
      <c r="C819" s="7">
        <v>1024.9000000000001</v>
      </c>
      <c r="D819" s="8" t="s">
        <v>5116</v>
      </c>
      <c r="E819" s="8" t="s">
        <v>5117</v>
      </c>
      <c r="F819" s="8" t="s">
        <v>5118</v>
      </c>
      <c r="G819" s="6" t="s">
        <v>123</v>
      </c>
      <c r="H819" s="6" t="s">
        <v>38</v>
      </c>
      <c r="I819" s="8" t="s">
        <v>164</v>
      </c>
      <c r="J819" s="9">
        <v>1</v>
      </c>
      <c r="K819" s="9">
        <v>352</v>
      </c>
      <c r="L819" s="9">
        <v>2018</v>
      </c>
      <c r="M819" s="8" t="s">
        <v>5119</v>
      </c>
      <c r="N819" s="8" t="s">
        <v>74</v>
      </c>
      <c r="O819" s="8" t="s">
        <v>109</v>
      </c>
      <c r="P819" s="6" t="s">
        <v>176</v>
      </c>
      <c r="Q819" s="8" t="s">
        <v>56</v>
      </c>
      <c r="R819" s="10" t="s">
        <v>4535</v>
      </c>
      <c r="S819" s="11" t="s">
        <v>5120</v>
      </c>
      <c r="T819" s="6" t="s">
        <v>190</v>
      </c>
      <c r="U819" s="28" t="str">
        <f>HYPERLINK("https://media.infra-m.ru/0927/0927484/cover/927484.jpg", "Обложка")</f>
        <v>Обложка</v>
      </c>
      <c r="V819" s="28" t="str">
        <f>HYPERLINK("https://znanium.ru/catalog/product/2103722", "Ознакомиться")</f>
        <v>Ознакомиться</v>
      </c>
      <c r="W819" s="8" t="s">
        <v>1028</v>
      </c>
      <c r="X819" s="6"/>
      <c r="Y819" s="6"/>
      <c r="Z819" s="6"/>
      <c r="AA819" s="6" t="s">
        <v>826</v>
      </c>
    </row>
    <row r="820" spans="1:27" s="4" customFormat="1" ht="51.95" customHeight="1">
      <c r="A820" s="5">
        <v>0</v>
      </c>
      <c r="B820" s="6" t="s">
        <v>5121</v>
      </c>
      <c r="C820" s="13">
        <v>720</v>
      </c>
      <c r="D820" s="8" t="s">
        <v>5122</v>
      </c>
      <c r="E820" s="8" t="s">
        <v>5117</v>
      </c>
      <c r="F820" s="8" t="s">
        <v>5123</v>
      </c>
      <c r="G820" s="6" t="s">
        <v>83</v>
      </c>
      <c r="H820" s="6" t="s">
        <v>38</v>
      </c>
      <c r="I820" s="8" t="s">
        <v>164</v>
      </c>
      <c r="J820" s="9">
        <v>1</v>
      </c>
      <c r="K820" s="9">
        <v>160</v>
      </c>
      <c r="L820" s="9">
        <v>2023</v>
      </c>
      <c r="M820" s="8" t="s">
        <v>5124</v>
      </c>
      <c r="N820" s="8" t="s">
        <v>74</v>
      </c>
      <c r="O820" s="8" t="s">
        <v>109</v>
      </c>
      <c r="P820" s="6" t="s">
        <v>55</v>
      </c>
      <c r="Q820" s="8" t="s">
        <v>56</v>
      </c>
      <c r="R820" s="10" t="s">
        <v>5125</v>
      </c>
      <c r="S820" s="11" t="s">
        <v>5126</v>
      </c>
      <c r="T820" s="6" t="s">
        <v>190</v>
      </c>
      <c r="U820" s="28" t="str">
        <f>HYPERLINK("https://media.infra-m.ru/1870/1870756/cover/1870756.jpg", "Обложка")</f>
        <v>Обложка</v>
      </c>
      <c r="V820" s="28" t="str">
        <f>HYPERLINK("https://znanium.ru/catalog/product/1870756", "Ознакомиться")</f>
        <v>Ознакомиться</v>
      </c>
      <c r="W820" s="8" t="s">
        <v>5127</v>
      </c>
      <c r="X820" s="6"/>
      <c r="Y820" s="6"/>
      <c r="Z820" s="6"/>
      <c r="AA820" s="6" t="s">
        <v>59</v>
      </c>
    </row>
    <row r="821" spans="1:27" s="4" customFormat="1" ht="51.95" customHeight="1">
      <c r="A821" s="5">
        <v>0</v>
      </c>
      <c r="B821" s="6" t="s">
        <v>5128</v>
      </c>
      <c r="C821" s="7">
        <v>1080</v>
      </c>
      <c r="D821" s="8" t="s">
        <v>5129</v>
      </c>
      <c r="E821" s="8" t="s">
        <v>5130</v>
      </c>
      <c r="F821" s="8" t="s">
        <v>5131</v>
      </c>
      <c r="G821" s="6" t="s">
        <v>37</v>
      </c>
      <c r="H821" s="6" t="s">
        <v>52</v>
      </c>
      <c r="I821" s="8" t="s">
        <v>155</v>
      </c>
      <c r="J821" s="9">
        <v>1</v>
      </c>
      <c r="K821" s="9">
        <v>240</v>
      </c>
      <c r="L821" s="9">
        <v>2023</v>
      </c>
      <c r="M821" s="8" t="s">
        <v>5132</v>
      </c>
      <c r="N821" s="8" t="s">
        <v>74</v>
      </c>
      <c r="O821" s="8" t="s">
        <v>109</v>
      </c>
      <c r="P821" s="6" t="s">
        <v>55</v>
      </c>
      <c r="Q821" s="8" t="s">
        <v>177</v>
      </c>
      <c r="R821" s="10" t="s">
        <v>5133</v>
      </c>
      <c r="S821" s="11" t="s">
        <v>5134</v>
      </c>
      <c r="T821" s="6"/>
      <c r="U821" s="28" t="str">
        <f>HYPERLINK("https://media.infra-m.ru/2000/2000786/cover/2000786.jpg", "Обложка")</f>
        <v>Обложка</v>
      </c>
      <c r="V821" s="28" t="str">
        <f>HYPERLINK("https://znanium.ru/catalog/product/2000786", "Ознакомиться")</f>
        <v>Ознакомиться</v>
      </c>
      <c r="W821" s="8" t="s">
        <v>5135</v>
      </c>
      <c r="X821" s="6"/>
      <c r="Y821" s="6"/>
      <c r="Z821" s="6"/>
      <c r="AA821" s="6" t="s">
        <v>364</v>
      </c>
    </row>
    <row r="822" spans="1:27" s="4" customFormat="1" ht="42" customHeight="1">
      <c r="A822" s="5">
        <v>0</v>
      </c>
      <c r="B822" s="6" t="s">
        <v>5136</v>
      </c>
      <c r="C822" s="7">
        <v>1380</v>
      </c>
      <c r="D822" s="8" t="s">
        <v>5137</v>
      </c>
      <c r="E822" s="8" t="s">
        <v>5138</v>
      </c>
      <c r="F822" s="8" t="s">
        <v>5139</v>
      </c>
      <c r="G822" s="6" t="s">
        <v>83</v>
      </c>
      <c r="H822" s="6" t="s">
        <v>317</v>
      </c>
      <c r="I822" s="8" t="s">
        <v>492</v>
      </c>
      <c r="J822" s="9">
        <v>1</v>
      </c>
      <c r="K822" s="9">
        <v>300</v>
      </c>
      <c r="L822" s="9">
        <v>2024</v>
      </c>
      <c r="M822" s="8" t="s">
        <v>5140</v>
      </c>
      <c r="N822" s="8" t="s">
        <v>74</v>
      </c>
      <c r="O822" s="8" t="s">
        <v>109</v>
      </c>
      <c r="P822" s="6" t="s">
        <v>55</v>
      </c>
      <c r="Q822" s="8" t="s">
        <v>56</v>
      </c>
      <c r="R822" s="10" t="s">
        <v>5141</v>
      </c>
      <c r="S822" s="11"/>
      <c r="T822" s="6" t="s">
        <v>190</v>
      </c>
      <c r="U822" s="28" t="str">
        <f>HYPERLINK("https://media.infra-m.ru/1916/1916399/cover/1916399.jpg", "Обложка")</f>
        <v>Обложка</v>
      </c>
      <c r="V822" s="28" t="str">
        <f>HYPERLINK("https://znanium.ru/catalog/product/1916399", "Ознакомиться")</f>
        <v>Ознакомиться</v>
      </c>
      <c r="W822" s="8" t="s">
        <v>1342</v>
      </c>
      <c r="X822" s="6"/>
      <c r="Y822" s="6"/>
      <c r="Z822" s="6"/>
      <c r="AA822" s="6" t="s">
        <v>364</v>
      </c>
    </row>
    <row r="823" spans="1:27" s="4" customFormat="1" ht="42" customHeight="1">
      <c r="A823" s="5">
        <v>0</v>
      </c>
      <c r="B823" s="6" t="s">
        <v>5142</v>
      </c>
      <c r="C823" s="7">
        <v>2204</v>
      </c>
      <c r="D823" s="8" t="s">
        <v>5143</v>
      </c>
      <c r="E823" s="8" t="s">
        <v>5144</v>
      </c>
      <c r="F823" s="8" t="s">
        <v>1067</v>
      </c>
      <c r="G823" s="6" t="s">
        <v>123</v>
      </c>
      <c r="H823" s="6" t="s">
        <v>38</v>
      </c>
      <c r="I823" s="8" t="s">
        <v>164</v>
      </c>
      <c r="J823" s="9">
        <v>1</v>
      </c>
      <c r="K823" s="9">
        <v>479</v>
      </c>
      <c r="L823" s="9">
        <v>2023</v>
      </c>
      <c r="M823" s="8" t="s">
        <v>5145</v>
      </c>
      <c r="N823" s="8" t="s">
        <v>74</v>
      </c>
      <c r="O823" s="8" t="s">
        <v>109</v>
      </c>
      <c r="P823" s="6" t="s">
        <v>176</v>
      </c>
      <c r="Q823" s="8" t="s">
        <v>56</v>
      </c>
      <c r="R823" s="10" t="s">
        <v>667</v>
      </c>
      <c r="S823" s="11"/>
      <c r="T823" s="6"/>
      <c r="U823" s="28" t="str">
        <f>HYPERLINK("https://media.infra-m.ru/2115/2115208/cover/2115208.jpg", "Обложка")</f>
        <v>Обложка</v>
      </c>
      <c r="V823" s="28" t="str">
        <f>HYPERLINK("https://znanium.ru/catalog/product/2110934", "Ознакомиться")</f>
        <v>Ознакомиться</v>
      </c>
      <c r="W823" s="8" t="s">
        <v>1070</v>
      </c>
      <c r="X823" s="6"/>
      <c r="Y823" s="6"/>
      <c r="Z823" s="6"/>
      <c r="AA823" s="6" t="s">
        <v>676</v>
      </c>
    </row>
    <row r="824" spans="1:27" s="4" customFormat="1" ht="44.1" customHeight="1">
      <c r="A824" s="5">
        <v>0</v>
      </c>
      <c r="B824" s="6" t="s">
        <v>5146</v>
      </c>
      <c r="C824" s="13">
        <v>740</v>
      </c>
      <c r="D824" s="8" t="s">
        <v>5147</v>
      </c>
      <c r="E824" s="8" t="s">
        <v>5148</v>
      </c>
      <c r="F824" s="8" t="s">
        <v>5149</v>
      </c>
      <c r="G824" s="6" t="s">
        <v>37</v>
      </c>
      <c r="H824" s="6" t="s">
        <v>52</v>
      </c>
      <c r="I824" s="8"/>
      <c r="J824" s="9">
        <v>1</v>
      </c>
      <c r="K824" s="9">
        <v>159</v>
      </c>
      <c r="L824" s="9">
        <v>2024</v>
      </c>
      <c r="M824" s="8" t="s">
        <v>5150</v>
      </c>
      <c r="N824" s="8" t="s">
        <v>74</v>
      </c>
      <c r="O824" s="8" t="s">
        <v>109</v>
      </c>
      <c r="P824" s="6" t="s">
        <v>43</v>
      </c>
      <c r="Q824" s="8" t="s">
        <v>44</v>
      </c>
      <c r="R824" s="10" t="s">
        <v>1678</v>
      </c>
      <c r="S824" s="11"/>
      <c r="T824" s="6"/>
      <c r="U824" s="28" t="str">
        <f>HYPERLINK("https://media.infra-m.ru/2102/2102667/cover/2102667.jpg", "Обложка")</f>
        <v>Обложка</v>
      </c>
      <c r="V824" s="28" t="str">
        <f>HYPERLINK("https://znanium.ru/catalog/product/2102667", "Ознакомиться")</f>
        <v>Ознакомиться</v>
      </c>
      <c r="W824" s="8" t="s">
        <v>1484</v>
      </c>
      <c r="X824" s="6"/>
      <c r="Y824" s="6"/>
      <c r="Z824" s="6"/>
      <c r="AA824" s="6" t="s">
        <v>381</v>
      </c>
    </row>
    <row r="825" spans="1:27" s="4" customFormat="1" ht="42" customHeight="1">
      <c r="A825" s="5">
        <v>0</v>
      </c>
      <c r="B825" s="6" t="s">
        <v>5151</v>
      </c>
      <c r="C825" s="7">
        <v>1400</v>
      </c>
      <c r="D825" s="8" t="s">
        <v>5152</v>
      </c>
      <c r="E825" s="8" t="s">
        <v>5153</v>
      </c>
      <c r="F825" s="8" t="s">
        <v>5154</v>
      </c>
      <c r="G825" s="6" t="s">
        <v>83</v>
      </c>
      <c r="H825" s="6" t="s">
        <v>317</v>
      </c>
      <c r="I825" s="8" t="s">
        <v>155</v>
      </c>
      <c r="J825" s="9">
        <v>1</v>
      </c>
      <c r="K825" s="9">
        <v>303</v>
      </c>
      <c r="L825" s="9">
        <v>2023</v>
      </c>
      <c r="M825" s="8" t="s">
        <v>5155</v>
      </c>
      <c r="N825" s="8" t="s">
        <v>74</v>
      </c>
      <c r="O825" s="8" t="s">
        <v>109</v>
      </c>
      <c r="P825" s="6" t="s">
        <v>176</v>
      </c>
      <c r="Q825" s="8" t="s">
        <v>177</v>
      </c>
      <c r="R825" s="10" t="s">
        <v>5156</v>
      </c>
      <c r="S825" s="11"/>
      <c r="T825" s="6"/>
      <c r="U825" s="28" t="str">
        <f>HYPERLINK("https://media.infra-m.ru/2020/2020589/cover/2020589.jpg", "Обложка")</f>
        <v>Обложка</v>
      </c>
      <c r="V825" s="28" t="str">
        <f>HYPERLINK("https://znanium.ru/catalog/product/2020589", "Ознакомиться")</f>
        <v>Ознакомиться</v>
      </c>
      <c r="W825" s="8" t="s">
        <v>2883</v>
      </c>
      <c r="X825" s="6"/>
      <c r="Y825" s="6"/>
      <c r="Z825" s="6"/>
      <c r="AA825" s="6" t="s">
        <v>650</v>
      </c>
    </row>
    <row r="826" spans="1:27" s="4" customFormat="1" ht="44.1" customHeight="1">
      <c r="A826" s="5">
        <v>0</v>
      </c>
      <c r="B826" s="6" t="s">
        <v>5157</v>
      </c>
      <c r="C826" s="7">
        <v>1044</v>
      </c>
      <c r="D826" s="8" t="s">
        <v>5158</v>
      </c>
      <c r="E826" s="8" t="s">
        <v>5159</v>
      </c>
      <c r="F826" s="8" t="s">
        <v>3954</v>
      </c>
      <c r="G826" s="6" t="s">
        <v>83</v>
      </c>
      <c r="H826" s="6" t="s">
        <v>470</v>
      </c>
      <c r="I826" s="8" t="s">
        <v>470</v>
      </c>
      <c r="J826" s="9">
        <v>1</v>
      </c>
      <c r="K826" s="9">
        <v>228</v>
      </c>
      <c r="L826" s="9">
        <v>2024</v>
      </c>
      <c r="M826" s="8" t="s">
        <v>5160</v>
      </c>
      <c r="N826" s="8" t="s">
        <v>74</v>
      </c>
      <c r="O826" s="8" t="s">
        <v>109</v>
      </c>
      <c r="P826" s="6" t="s">
        <v>2021</v>
      </c>
      <c r="Q826" s="8" t="s">
        <v>56</v>
      </c>
      <c r="R826" s="10" t="s">
        <v>5161</v>
      </c>
      <c r="S826" s="11"/>
      <c r="T826" s="6"/>
      <c r="U826" s="28" t="str">
        <f>HYPERLINK("https://media.infra-m.ru/2083/2083834/cover/2083834.jpg", "Обложка")</f>
        <v>Обложка</v>
      </c>
      <c r="V826" s="28" t="str">
        <f>HYPERLINK("https://znanium.ru/catalog/product/1846117", "Ознакомиться")</f>
        <v>Ознакомиться</v>
      </c>
      <c r="W826" s="8" t="s">
        <v>2726</v>
      </c>
      <c r="X826" s="6"/>
      <c r="Y826" s="6"/>
      <c r="Z826" s="6"/>
      <c r="AA826" s="6" t="s">
        <v>1772</v>
      </c>
    </row>
    <row r="827" spans="1:27" s="4" customFormat="1" ht="51.95" customHeight="1">
      <c r="A827" s="5">
        <v>0</v>
      </c>
      <c r="B827" s="6" t="s">
        <v>5162</v>
      </c>
      <c r="C827" s="13">
        <v>950</v>
      </c>
      <c r="D827" s="8" t="s">
        <v>5163</v>
      </c>
      <c r="E827" s="8" t="s">
        <v>5164</v>
      </c>
      <c r="F827" s="8" t="s">
        <v>4201</v>
      </c>
      <c r="G827" s="6" t="s">
        <v>83</v>
      </c>
      <c r="H827" s="6" t="s">
        <v>1701</v>
      </c>
      <c r="I827" s="8" t="s">
        <v>155</v>
      </c>
      <c r="J827" s="9">
        <v>1</v>
      </c>
      <c r="K827" s="9">
        <v>192</v>
      </c>
      <c r="L827" s="9">
        <v>2024</v>
      </c>
      <c r="M827" s="8" t="s">
        <v>5165</v>
      </c>
      <c r="N827" s="8" t="s">
        <v>74</v>
      </c>
      <c r="O827" s="8" t="s">
        <v>109</v>
      </c>
      <c r="P827" s="6" t="s">
        <v>55</v>
      </c>
      <c r="Q827" s="8" t="s">
        <v>56</v>
      </c>
      <c r="R827" s="10" t="s">
        <v>5166</v>
      </c>
      <c r="S827" s="11" t="s">
        <v>5167</v>
      </c>
      <c r="T827" s="6"/>
      <c r="U827" s="28" t="str">
        <f>HYPERLINK("https://media.infra-m.ru/2125/2125303/cover/2125303.jpg", "Обложка")</f>
        <v>Обложка</v>
      </c>
      <c r="V827" s="28" t="str">
        <f>HYPERLINK("https://znanium.ru/catalog/product/2125303", "Ознакомиться")</f>
        <v>Ознакомиться</v>
      </c>
      <c r="W827" s="8" t="s">
        <v>2712</v>
      </c>
      <c r="X827" s="6"/>
      <c r="Y827" s="6"/>
      <c r="Z827" s="6" t="s">
        <v>283</v>
      </c>
      <c r="AA827" s="6" t="s">
        <v>68</v>
      </c>
    </row>
    <row r="828" spans="1:27" s="4" customFormat="1" ht="51.95" customHeight="1">
      <c r="A828" s="5">
        <v>0</v>
      </c>
      <c r="B828" s="6" t="s">
        <v>5168</v>
      </c>
      <c r="C828" s="13">
        <v>890</v>
      </c>
      <c r="D828" s="8" t="s">
        <v>5169</v>
      </c>
      <c r="E828" s="8" t="s">
        <v>5164</v>
      </c>
      <c r="F828" s="8" t="s">
        <v>4201</v>
      </c>
      <c r="G828" s="6" t="s">
        <v>83</v>
      </c>
      <c r="H828" s="6" t="s">
        <v>1701</v>
      </c>
      <c r="I828" s="8" t="s">
        <v>205</v>
      </c>
      <c r="J828" s="9">
        <v>1</v>
      </c>
      <c r="K828" s="9">
        <v>192</v>
      </c>
      <c r="L828" s="9">
        <v>2024</v>
      </c>
      <c r="M828" s="8" t="s">
        <v>5170</v>
      </c>
      <c r="N828" s="8" t="s">
        <v>74</v>
      </c>
      <c r="O828" s="8" t="s">
        <v>109</v>
      </c>
      <c r="P828" s="6" t="s">
        <v>55</v>
      </c>
      <c r="Q828" s="8" t="s">
        <v>207</v>
      </c>
      <c r="R828" s="10" t="s">
        <v>5171</v>
      </c>
      <c r="S828" s="11" t="s">
        <v>5172</v>
      </c>
      <c r="T828" s="6"/>
      <c r="U828" s="28" t="str">
        <f>HYPERLINK("https://media.infra-m.ru/2085/2085093/cover/2085093.jpg", "Обложка")</f>
        <v>Обложка</v>
      </c>
      <c r="V828" s="28" t="str">
        <f>HYPERLINK("https://znanium.ru/catalog/product/2085093", "Ознакомиться")</f>
        <v>Ознакомиться</v>
      </c>
      <c r="W828" s="8" t="s">
        <v>2712</v>
      </c>
      <c r="X828" s="6"/>
      <c r="Y828" s="6" t="s">
        <v>30</v>
      </c>
      <c r="Z828" s="6"/>
      <c r="AA828" s="6" t="s">
        <v>4400</v>
      </c>
    </row>
    <row r="829" spans="1:27" s="4" customFormat="1" ht="51.95" customHeight="1">
      <c r="A829" s="5">
        <v>0</v>
      </c>
      <c r="B829" s="6" t="s">
        <v>5173</v>
      </c>
      <c r="C829" s="13">
        <v>820</v>
      </c>
      <c r="D829" s="8" t="s">
        <v>5174</v>
      </c>
      <c r="E829" s="8" t="s">
        <v>5175</v>
      </c>
      <c r="F829" s="8" t="s">
        <v>5176</v>
      </c>
      <c r="G829" s="6" t="s">
        <v>83</v>
      </c>
      <c r="H829" s="6" t="s">
        <v>317</v>
      </c>
      <c r="I829" s="8" t="s">
        <v>1900</v>
      </c>
      <c r="J829" s="9">
        <v>1</v>
      </c>
      <c r="K829" s="9">
        <v>176</v>
      </c>
      <c r="L829" s="9">
        <v>2023</v>
      </c>
      <c r="M829" s="8" t="s">
        <v>5177</v>
      </c>
      <c r="N829" s="8" t="s">
        <v>74</v>
      </c>
      <c r="O829" s="8" t="s">
        <v>109</v>
      </c>
      <c r="P829" s="6" t="s">
        <v>1604</v>
      </c>
      <c r="Q829" s="8" t="s">
        <v>44</v>
      </c>
      <c r="R829" s="10" t="s">
        <v>5178</v>
      </c>
      <c r="S829" s="11"/>
      <c r="T829" s="6"/>
      <c r="U829" s="28" t="str">
        <f>HYPERLINK("https://media.infra-m.ru/2029/2029832/cover/2029832.jpg", "Обложка")</f>
        <v>Обложка</v>
      </c>
      <c r="V829" s="28" t="str">
        <f>HYPERLINK("https://znanium.ru/catalog/product/2029832", "Ознакомиться")</f>
        <v>Ознакомиться</v>
      </c>
      <c r="W829" s="8" t="s">
        <v>5179</v>
      </c>
      <c r="X829" s="6"/>
      <c r="Y829" s="6"/>
      <c r="Z829" s="6"/>
      <c r="AA829" s="6" t="s">
        <v>68</v>
      </c>
    </row>
    <row r="830" spans="1:27" s="4" customFormat="1" ht="42" customHeight="1">
      <c r="A830" s="5">
        <v>0</v>
      </c>
      <c r="B830" s="6" t="s">
        <v>5180</v>
      </c>
      <c r="C830" s="13">
        <v>630</v>
      </c>
      <c r="D830" s="8" t="s">
        <v>5181</v>
      </c>
      <c r="E830" s="8" t="s">
        <v>5182</v>
      </c>
      <c r="F830" s="8" t="s">
        <v>5183</v>
      </c>
      <c r="G830" s="6" t="s">
        <v>37</v>
      </c>
      <c r="H830" s="6" t="s">
        <v>317</v>
      </c>
      <c r="I830" s="8"/>
      <c r="J830" s="9">
        <v>1</v>
      </c>
      <c r="K830" s="9">
        <v>137</v>
      </c>
      <c r="L830" s="9">
        <v>2023</v>
      </c>
      <c r="M830" s="8" t="s">
        <v>5184</v>
      </c>
      <c r="N830" s="8" t="s">
        <v>74</v>
      </c>
      <c r="O830" s="8" t="s">
        <v>109</v>
      </c>
      <c r="P830" s="6" t="s">
        <v>55</v>
      </c>
      <c r="Q830" s="8" t="s">
        <v>56</v>
      </c>
      <c r="R830" s="10" t="s">
        <v>5185</v>
      </c>
      <c r="S830" s="11"/>
      <c r="T830" s="6"/>
      <c r="U830" s="28" t="str">
        <f>HYPERLINK("https://media.infra-m.ru/1871/1871021/cover/1871021.jpg", "Обложка")</f>
        <v>Обложка</v>
      </c>
      <c r="V830" s="28" t="str">
        <f>HYPERLINK("https://znanium.ru/catalog/product/1871021", "Ознакомиться")</f>
        <v>Ознакомиться</v>
      </c>
      <c r="W830" s="8" t="s">
        <v>1342</v>
      </c>
      <c r="X830" s="6"/>
      <c r="Y830" s="6"/>
      <c r="Z830" s="6"/>
      <c r="AA830" s="6" t="s">
        <v>650</v>
      </c>
    </row>
    <row r="831" spans="1:27" s="4" customFormat="1" ht="51.95" customHeight="1">
      <c r="A831" s="5">
        <v>0</v>
      </c>
      <c r="B831" s="6" t="s">
        <v>5186</v>
      </c>
      <c r="C831" s="7">
        <v>1500</v>
      </c>
      <c r="D831" s="8" t="s">
        <v>5187</v>
      </c>
      <c r="E831" s="8" t="s">
        <v>5188</v>
      </c>
      <c r="F831" s="8" t="s">
        <v>5189</v>
      </c>
      <c r="G831" s="6" t="s">
        <v>83</v>
      </c>
      <c r="H831" s="6" t="s">
        <v>38</v>
      </c>
      <c r="I831" s="8" t="s">
        <v>884</v>
      </c>
      <c r="J831" s="9">
        <v>1</v>
      </c>
      <c r="K831" s="9">
        <v>325</v>
      </c>
      <c r="L831" s="9">
        <v>2024</v>
      </c>
      <c r="M831" s="8" t="s">
        <v>5190</v>
      </c>
      <c r="N831" s="8" t="s">
        <v>74</v>
      </c>
      <c r="O831" s="8" t="s">
        <v>109</v>
      </c>
      <c r="P831" s="6" t="s">
        <v>55</v>
      </c>
      <c r="Q831" s="8" t="s">
        <v>594</v>
      </c>
      <c r="R831" s="10" t="s">
        <v>5191</v>
      </c>
      <c r="S831" s="11" t="s">
        <v>5192</v>
      </c>
      <c r="T831" s="6" t="s">
        <v>190</v>
      </c>
      <c r="U831" s="28" t="str">
        <f>HYPERLINK("https://media.infra-m.ru/2072/2072445/cover/2072445.jpg", "Обложка")</f>
        <v>Обложка</v>
      </c>
      <c r="V831" s="28" t="str">
        <f>HYPERLINK("https://znanium.ru/catalog/product/2072445", "Ознакомиться")</f>
        <v>Ознакомиться</v>
      </c>
      <c r="W831" s="8" t="s">
        <v>962</v>
      </c>
      <c r="X831" s="6"/>
      <c r="Y831" s="6"/>
      <c r="Z831" s="6"/>
      <c r="AA831" s="6" t="s">
        <v>364</v>
      </c>
    </row>
    <row r="832" spans="1:27" s="4" customFormat="1" ht="51.95" customHeight="1">
      <c r="A832" s="5">
        <v>0</v>
      </c>
      <c r="B832" s="6" t="s">
        <v>5193</v>
      </c>
      <c r="C832" s="7">
        <v>2940</v>
      </c>
      <c r="D832" s="8" t="s">
        <v>5194</v>
      </c>
      <c r="E832" s="8" t="s">
        <v>5195</v>
      </c>
      <c r="F832" s="8" t="s">
        <v>2687</v>
      </c>
      <c r="G832" s="6" t="s">
        <v>123</v>
      </c>
      <c r="H832" s="6" t="s">
        <v>38</v>
      </c>
      <c r="I832" s="8" t="s">
        <v>155</v>
      </c>
      <c r="J832" s="9">
        <v>1</v>
      </c>
      <c r="K832" s="9">
        <v>638</v>
      </c>
      <c r="L832" s="9">
        <v>2024</v>
      </c>
      <c r="M832" s="8" t="s">
        <v>5196</v>
      </c>
      <c r="N832" s="8" t="s">
        <v>74</v>
      </c>
      <c r="O832" s="8" t="s">
        <v>109</v>
      </c>
      <c r="P832" s="6" t="s">
        <v>55</v>
      </c>
      <c r="Q832" s="8" t="s">
        <v>56</v>
      </c>
      <c r="R832" s="10" t="s">
        <v>5197</v>
      </c>
      <c r="S832" s="11" t="s">
        <v>3974</v>
      </c>
      <c r="T832" s="6"/>
      <c r="U832" s="28" t="str">
        <f>HYPERLINK("https://media.infra-m.ru/1985/1985770/cover/1985770.jpg", "Обложка")</f>
        <v>Обложка</v>
      </c>
      <c r="V832" s="28" t="str">
        <f>HYPERLINK("https://znanium.ru/catalog/product/1985770", "Ознакомиться")</f>
        <v>Ознакомиться</v>
      </c>
      <c r="W832" s="8" t="s">
        <v>58</v>
      </c>
      <c r="X832" s="6"/>
      <c r="Y832" s="6"/>
      <c r="Z832" s="6"/>
      <c r="AA832" s="6" t="s">
        <v>2321</v>
      </c>
    </row>
    <row r="833" spans="1:27" s="4" customFormat="1" ht="44.1" customHeight="1">
      <c r="A833" s="5">
        <v>0</v>
      </c>
      <c r="B833" s="6" t="s">
        <v>5198</v>
      </c>
      <c r="C833" s="13">
        <v>864.9</v>
      </c>
      <c r="D833" s="8" t="s">
        <v>5199</v>
      </c>
      <c r="E833" s="8" t="s">
        <v>5200</v>
      </c>
      <c r="F833" s="8" t="s">
        <v>5201</v>
      </c>
      <c r="G833" s="6" t="s">
        <v>37</v>
      </c>
      <c r="H833" s="6" t="s">
        <v>470</v>
      </c>
      <c r="I833" s="8" t="s">
        <v>1040</v>
      </c>
      <c r="J833" s="9">
        <v>5</v>
      </c>
      <c r="K833" s="9">
        <v>192</v>
      </c>
      <c r="L833" s="9">
        <v>2023</v>
      </c>
      <c r="M833" s="8" t="s">
        <v>5202</v>
      </c>
      <c r="N833" s="8" t="s">
        <v>74</v>
      </c>
      <c r="O833" s="8" t="s">
        <v>109</v>
      </c>
      <c r="P833" s="6" t="s">
        <v>43</v>
      </c>
      <c r="Q833" s="8" t="s">
        <v>44</v>
      </c>
      <c r="R833" s="10" t="s">
        <v>1585</v>
      </c>
      <c r="S833" s="11"/>
      <c r="T833" s="6"/>
      <c r="U833" s="12"/>
      <c r="V833" s="28" t="str">
        <f>HYPERLINK("https://znanium.ru/catalog/product/472477", "Ознакомиться")</f>
        <v>Ознакомиться</v>
      </c>
      <c r="W833" s="8" t="s">
        <v>371</v>
      </c>
      <c r="X833" s="6"/>
      <c r="Y833" s="6"/>
      <c r="Z833" s="6"/>
      <c r="AA833" s="6" t="s">
        <v>381</v>
      </c>
    </row>
    <row r="834" spans="1:27" s="4" customFormat="1" ht="44.1" customHeight="1">
      <c r="A834" s="5">
        <v>0</v>
      </c>
      <c r="B834" s="6" t="s">
        <v>5203</v>
      </c>
      <c r="C834" s="13">
        <v>950</v>
      </c>
      <c r="D834" s="8" t="s">
        <v>5204</v>
      </c>
      <c r="E834" s="8" t="s">
        <v>5200</v>
      </c>
      <c r="F834" s="8" t="s">
        <v>5201</v>
      </c>
      <c r="G834" s="6" t="s">
        <v>123</v>
      </c>
      <c r="H834" s="6" t="s">
        <v>38</v>
      </c>
      <c r="I834" s="8" t="s">
        <v>884</v>
      </c>
      <c r="J834" s="9">
        <v>1</v>
      </c>
      <c r="K834" s="9">
        <v>230</v>
      </c>
      <c r="L834" s="9">
        <v>2021</v>
      </c>
      <c r="M834" s="8" t="s">
        <v>5205</v>
      </c>
      <c r="N834" s="8" t="s">
        <v>74</v>
      </c>
      <c r="O834" s="8" t="s">
        <v>109</v>
      </c>
      <c r="P834" s="6" t="s">
        <v>55</v>
      </c>
      <c r="Q834" s="8" t="s">
        <v>594</v>
      </c>
      <c r="R834" s="10" t="s">
        <v>5206</v>
      </c>
      <c r="S834" s="11"/>
      <c r="T834" s="6"/>
      <c r="U834" s="28" t="str">
        <f>HYPERLINK("https://media.infra-m.ru/1081/1081759/cover/1081759.jpg", "Обложка")</f>
        <v>Обложка</v>
      </c>
      <c r="V834" s="28" t="str">
        <f>HYPERLINK("https://znanium.ru/catalog/product/1081759", "Ознакомиться")</f>
        <v>Ознакомиться</v>
      </c>
      <c r="W834" s="8" t="s">
        <v>371</v>
      </c>
      <c r="X834" s="6"/>
      <c r="Y834" s="6"/>
      <c r="Z834" s="6"/>
      <c r="AA834" s="6" t="s">
        <v>193</v>
      </c>
    </row>
    <row r="835" spans="1:27" s="4" customFormat="1" ht="44.1" customHeight="1">
      <c r="A835" s="5">
        <v>0</v>
      </c>
      <c r="B835" s="6" t="s">
        <v>5207</v>
      </c>
      <c r="C835" s="7">
        <v>1174</v>
      </c>
      <c r="D835" s="8" t="s">
        <v>5208</v>
      </c>
      <c r="E835" s="8" t="s">
        <v>5209</v>
      </c>
      <c r="F835" s="8" t="s">
        <v>5210</v>
      </c>
      <c r="G835" s="6" t="s">
        <v>37</v>
      </c>
      <c r="H835" s="6" t="s">
        <v>38</v>
      </c>
      <c r="I835" s="8" t="s">
        <v>39</v>
      </c>
      <c r="J835" s="9">
        <v>1</v>
      </c>
      <c r="K835" s="9">
        <v>251</v>
      </c>
      <c r="L835" s="9">
        <v>2024</v>
      </c>
      <c r="M835" s="8" t="s">
        <v>5211</v>
      </c>
      <c r="N835" s="8" t="s">
        <v>74</v>
      </c>
      <c r="O835" s="8" t="s">
        <v>109</v>
      </c>
      <c r="P835" s="6" t="s">
        <v>43</v>
      </c>
      <c r="Q835" s="8" t="s">
        <v>44</v>
      </c>
      <c r="R835" s="10" t="s">
        <v>5212</v>
      </c>
      <c r="S835" s="11"/>
      <c r="T835" s="6"/>
      <c r="U835" s="28" t="str">
        <f>HYPERLINK("https://media.infra-m.ru/2152/2152162/cover/2152162.jpg", "Обложка")</f>
        <v>Обложка</v>
      </c>
      <c r="V835" s="28" t="str">
        <f>HYPERLINK("https://znanium.ru/catalog/product/2024030", "Ознакомиться")</f>
        <v>Ознакомиться</v>
      </c>
      <c r="W835" s="8"/>
      <c r="X835" s="6"/>
      <c r="Y835" s="6"/>
      <c r="Z835" s="6"/>
      <c r="AA835" s="6" t="s">
        <v>193</v>
      </c>
    </row>
    <row r="836" spans="1:27" s="4" customFormat="1" ht="51.95" customHeight="1">
      <c r="A836" s="5">
        <v>0</v>
      </c>
      <c r="B836" s="6" t="s">
        <v>5213</v>
      </c>
      <c r="C836" s="13">
        <v>688</v>
      </c>
      <c r="D836" s="8" t="s">
        <v>5214</v>
      </c>
      <c r="E836" s="8" t="s">
        <v>5215</v>
      </c>
      <c r="F836" s="8" t="s">
        <v>5216</v>
      </c>
      <c r="G836" s="6" t="s">
        <v>37</v>
      </c>
      <c r="H836" s="6" t="s">
        <v>317</v>
      </c>
      <c r="I836" s="8" t="s">
        <v>2731</v>
      </c>
      <c r="J836" s="9">
        <v>1</v>
      </c>
      <c r="K836" s="9">
        <v>224</v>
      </c>
      <c r="L836" s="9">
        <v>2024</v>
      </c>
      <c r="M836" s="8" t="s">
        <v>5217</v>
      </c>
      <c r="N836" s="8" t="s">
        <v>74</v>
      </c>
      <c r="O836" s="8" t="s">
        <v>109</v>
      </c>
      <c r="P836" s="6" t="s">
        <v>55</v>
      </c>
      <c r="Q836" s="8" t="s">
        <v>56</v>
      </c>
      <c r="R836" s="10" t="s">
        <v>5218</v>
      </c>
      <c r="S836" s="11"/>
      <c r="T836" s="6"/>
      <c r="U836" s="28" t="str">
        <f>HYPERLINK("https://media.infra-m.ru/2134/2134795/cover/2134795.jpg", "Обложка")</f>
        <v>Обложка</v>
      </c>
      <c r="V836" s="28" t="str">
        <f>HYPERLINK("https://znanium.ru/catalog/product/1943456", "Ознакомиться")</f>
        <v>Ознакомиться</v>
      </c>
      <c r="W836" s="8" t="s">
        <v>5219</v>
      </c>
      <c r="X836" s="6"/>
      <c r="Y836" s="6"/>
      <c r="Z836" s="6"/>
      <c r="AA836" s="6" t="s">
        <v>676</v>
      </c>
    </row>
    <row r="837" spans="1:27" s="4" customFormat="1" ht="51.95" customHeight="1">
      <c r="A837" s="5">
        <v>0</v>
      </c>
      <c r="B837" s="6" t="s">
        <v>5220</v>
      </c>
      <c r="C837" s="13">
        <v>714</v>
      </c>
      <c r="D837" s="8" t="s">
        <v>5221</v>
      </c>
      <c r="E837" s="8" t="s">
        <v>5222</v>
      </c>
      <c r="F837" s="8" t="s">
        <v>5223</v>
      </c>
      <c r="G837" s="6" t="s">
        <v>37</v>
      </c>
      <c r="H837" s="6" t="s">
        <v>52</v>
      </c>
      <c r="I837" s="8"/>
      <c r="J837" s="9">
        <v>1</v>
      </c>
      <c r="K837" s="9">
        <v>152</v>
      </c>
      <c r="L837" s="9">
        <v>2024</v>
      </c>
      <c r="M837" s="8" t="s">
        <v>5224</v>
      </c>
      <c r="N837" s="8" t="s">
        <v>74</v>
      </c>
      <c r="O837" s="8" t="s">
        <v>109</v>
      </c>
      <c r="P837" s="6" t="s">
        <v>55</v>
      </c>
      <c r="Q837" s="8" t="s">
        <v>56</v>
      </c>
      <c r="R837" s="10" t="s">
        <v>5225</v>
      </c>
      <c r="S837" s="11" t="s">
        <v>5226</v>
      </c>
      <c r="T837" s="6"/>
      <c r="U837" s="28" t="str">
        <f>HYPERLINK("https://media.infra-m.ru/2144/2144117/cover/2144117.jpg", "Обложка")</f>
        <v>Обложка</v>
      </c>
      <c r="V837" s="12"/>
      <c r="W837" s="8" t="s">
        <v>2084</v>
      </c>
      <c r="X837" s="6"/>
      <c r="Y837" s="6"/>
      <c r="Z837" s="6"/>
      <c r="AA837" s="6" t="s">
        <v>290</v>
      </c>
    </row>
    <row r="838" spans="1:27" s="4" customFormat="1" ht="51.95" customHeight="1">
      <c r="A838" s="5">
        <v>0</v>
      </c>
      <c r="B838" s="6" t="s">
        <v>5227</v>
      </c>
      <c r="C838" s="7">
        <v>1680</v>
      </c>
      <c r="D838" s="8" t="s">
        <v>5228</v>
      </c>
      <c r="E838" s="8" t="s">
        <v>5229</v>
      </c>
      <c r="F838" s="8" t="s">
        <v>5230</v>
      </c>
      <c r="G838" s="6" t="s">
        <v>83</v>
      </c>
      <c r="H838" s="6" t="s">
        <v>38</v>
      </c>
      <c r="I838" s="8" t="s">
        <v>39</v>
      </c>
      <c r="J838" s="9">
        <v>1</v>
      </c>
      <c r="K838" s="9">
        <v>356</v>
      </c>
      <c r="L838" s="9">
        <v>2024</v>
      </c>
      <c r="M838" s="8" t="s">
        <v>5231</v>
      </c>
      <c r="N838" s="8" t="s">
        <v>74</v>
      </c>
      <c r="O838" s="8" t="s">
        <v>109</v>
      </c>
      <c r="P838" s="6" t="s">
        <v>43</v>
      </c>
      <c r="Q838" s="8" t="s">
        <v>44</v>
      </c>
      <c r="R838" s="10" t="s">
        <v>5232</v>
      </c>
      <c r="S838" s="11"/>
      <c r="T838" s="6"/>
      <c r="U838" s="28" t="str">
        <f>HYPERLINK("https://media.infra-m.ru/2136/2136023/cover/2136023.jpg", "Обложка")</f>
        <v>Обложка</v>
      </c>
      <c r="V838" s="28" t="str">
        <f>HYPERLINK("https://znanium.ru/catalog/product/2136023", "Ознакомиться")</f>
        <v>Ознакомиться</v>
      </c>
      <c r="W838" s="8" t="s">
        <v>5233</v>
      </c>
      <c r="X838" s="6"/>
      <c r="Y838" s="6"/>
      <c r="Z838" s="6"/>
      <c r="AA838" s="6" t="s">
        <v>111</v>
      </c>
    </row>
    <row r="839" spans="1:27" s="4" customFormat="1" ht="51.95" customHeight="1">
      <c r="A839" s="5">
        <v>0</v>
      </c>
      <c r="B839" s="6" t="s">
        <v>5234</v>
      </c>
      <c r="C839" s="7">
        <v>1510</v>
      </c>
      <c r="D839" s="8" t="s">
        <v>5235</v>
      </c>
      <c r="E839" s="8" t="s">
        <v>5236</v>
      </c>
      <c r="F839" s="8" t="s">
        <v>5237</v>
      </c>
      <c r="G839" s="6" t="s">
        <v>83</v>
      </c>
      <c r="H839" s="6" t="s">
        <v>38</v>
      </c>
      <c r="I839" s="8" t="s">
        <v>39</v>
      </c>
      <c r="J839" s="9">
        <v>1</v>
      </c>
      <c r="K839" s="9">
        <v>320</v>
      </c>
      <c r="L839" s="9">
        <v>2024</v>
      </c>
      <c r="M839" s="8" t="s">
        <v>5238</v>
      </c>
      <c r="N839" s="8" t="s">
        <v>74</v>
      </c>
      <c r="O839" s="8" t="s">
        <v>109</v>
      </c>
      <c r="P839" s="6" t="s">
        <v>43</v>
      </c>
      <c r="Q839" s="8" t="s">
        <v>44</v>
      </c>
      <c r="R839" s="10" t="s">
        <v>5239</v>
      </c>
      <c r="S839" s="11"/>
      <c r="T839" s="6"/>
      <c r="U839" s="28" t="str">
        <f>HYPERLINK("https://media.infra-m.ru/2072/2072447/cover/2072447.jpg", "Обложка")</f>
        <v>Обложка</v>
      </c>
      <c r="V839" s="28" t="str">
        <f>HYPERLINK("https://znanium.ru/catalog/product/2072447", "Ознакомиться")</f>
        <v>Ознакомиться</v>
      </c>
      <c r="W839" s="8" t="s">
        <v>962</v>
      </c>
      <c r="X839" s="6"/>
      <c r="Y839" s="6"/>
      <c r="Z839" s="6"/>
      <c r="AA839" s="6" t="s">
        <v>59</v>
      </c>
    </row>
    <row r="840" spans="1:27" s="4" customFormat="1" ht="51.95" customHeight="1">
      <c r="A840" s="5">
        <v>0</v>
      </c>
      <c r="B840" s="6" t="s">
        <v>5240</v>
      </c>
      <c r="C840" s="13">
        <v>790</v>
      </c>
      <c r="D840" s="8" t="s">
        <v>5241</v>
      </c>
      <c r="E840" s="8" t="s">
        <v>5242</v>
      </c>
      <c r="F840" s="8" t="s">
        <v>5243</v>
      </c>
      <c r="G840" s="6" t="s">
        <v>37</v>
      </c>
      <c r="H840" s="6" t="s">
        <v>52</v>
      </c>
      <c r="I840" s="8" t="s">
        <v>155</v>
      </c>
      <c r="J840" s="9">
        <v>1</v>
      </c>
      <c r="K840" s="9">
        <v>160</v>
      </c>
      <c r="L840" s="9">
        <v>2024</v>
      </c>
      <c r="M840" s="8" t="s">
        <v>5244</v>
      </c>
      <c r="N840" s="8" t="s">
        <v>41</v>
      </c>
      <c r="O840" s="8" t="s">
        <v>65</v>
      </c>
      <c r="P840" s="6" t="s">
        <v>55</v>
      </c>
      <c r="Q840" s="8" t="s">
        <v>56</v>
      </c>
      <c r="R840" s="10" t="s">
        <v>5245</v>
      </c>
      <c r="S840" s="11" t="s">
        <v>5246</v>
      </c>
      <c r="T840" s="6"/>
      <c r="U840" s="28" t="str">
        <f>HYPERLINK("https://media.infra-m.ru/2139/2139008/cover/2139008.jpg", "Обложка")</f>
        <v>Обложка</v>
      </c>
      <c r="V840" s="28" t="str">
        <f>HYPERLINK("https://znanium.ru/catalog/product/2139008", "Ознакомиться")</f>
        <v>Ознакомиться</v>
      </c>
      <c r="W840" s="8" t="s">
        <v>1484</v>
      </c>
      <c r="X840" s="6"/>
      <c r="Y840" s="6"/>
      <c r="Z840" s="6"/>
      <c r="AA840" s="6" t="s">
        <v>169</v>
      </c>
    </row>
    <row r="841" spans="1:27" s="4" customFormat="1" ht="42" customHeight="1">
      <c r="A841" s="5">
        <v>0</v>
      </c>
      <c r="B841" s="6" t="s">
        <v>5247</v>
      </c>
      <c r="C841" s="7">
        <v>1562</v>
      </c>
      <c r="D841" s="8" t="s">
        <v>5248</v>
      </c>
      <c r="E841" s="8" t="s">
        <v>5249</v>
      </c>
      <c r="F841" s="8" t="s">
        <v>5250</v>
      </c>
      <c r="G841" s="6" t="s">
        <v>37</v>
      </c>
      <c r="H841" s="6" t="s">
        <v>52</v>
      </c>
      <c r="I841" s="8"/>
      <c r="J841" s="9">
        <v>1</v>
      </c>
      <c r="K841" s="9">
        <v>256</v>
      </c>
      <c r="L841" s="9">
        <v>2023</v>
      </c>
      <c r="M841" s="8" t="s">
        <v>5251</v>
      </c>
      <c r="N841" s="8" t="s">
        <v>74</v>
      </c>
      <c r="O841" s="8" t="s">
        <v>109</v>
      </c>
      <c r="P841" s="6" t="s">
        <v>43</v>
      </c>
      <c r="Q841" s="8" t="s">
        <v>44</v>
      </c>
      <c r="R841" s="10" t="s">
        <v>667</v>
      </c>
      <c r="S841" s="11"/>
      <c r="T841" s="6"/>
      <c r="U841" s="28" t="str">
        <f>HYPERLINK("https://media.infra-m.ru/1895/1895670/cover/1895670.jpg", "Обложка")</f>
        <v>Обложка</v>
      </c>
      <c r="V841" s="28" t="str">
        <f>HYPERLINK("https://znanium.ru/catalog/product/1895670", "Ознакомиться")</f>
        <v>Ознакомиться</v>
      </c>
      <c r="W841" s="8" t="s">
        <v>1484</v>
      </c>
      <c r="X841" s="6"/>
      <c r="Y841" s="6"/>
      <c r="Z841" s="6"/>
      <c r="AA841" s="6" t="s">
        <v>47</v>
      </c>
    </row>
    <row r="842" spans="1:27" s="4" customFormat="1" ht="51.95" customHeight="1">
      <c r="A842" s="5">
        <v>0</v>
      </c>
      <c r="B842" s="6" t="s">
        <v>5252</v>
      </c>
      <c r="C842" s="7">
        <v>2054.9</v>
      </c>
      <c r="D842" s="8" t="s">
        <v>5253</v>
      </c>
      <c r="E842" s="8" t="s">
        <v>5254</v>
      </c>
      <c r="F842" s="8" t="s">
        <v>5255</v>
      </c>
      <c r="G842" s="6" t="s">
        <v>123</v>
      </c>
      <c r="H842" s="6" t="s">
        <v>38</v>
      </c>
      <c r="I842" s="8" t="s">
        <v>155</v>
      </c>
      <c r="J842" s="9">
        <v>1</v>
      </c>
      <c r="K842" s="9">
        <v>436</v>
      </c>
      <c r="L842" s="9">
        <v>2023</v>
      </c>
      <c r="M842" s="8" t="s">
        <v>5256</v>
      </c>
      <c r="N842" s="8" t="s">
        <v>74</v>
      </c>
      <c r="O842" s="8" t="s">
        <v>109</v>
      </c>
      <c r="P842" s="6" t="s">
        <v>55</v>
      </c>
      <c r="Q842" s="8" t="s">
        <v>56</v>
      </c>
      <c r="R842" s="10" t="s">
        <v>5257</v>
      </c>
      <c r="S842" s="11" t="s">
        <v>5258</v>
      </c>
      <c r="T842" s="6" t="s">
        <v>190</v>
      </c>
      <c r="U842" s="28" t="str">
        <f>HYPERLINK("https://media.infra-m.ru/2110/2110924/cover/2110924.jpg", "Обложка")</f>
        <v>Обложка</v>
      </c>
      <c r="V842" s="28" t="str">
        <f>HYPERLINK("https://znanium.ru/catalog/product/2102699", "Ознакомиться")</f>
        <v>Ознакомиться</v>
      </c>
      <c r="W842" s="8" t="s">
        <v>2084</v>
      </c>
      <c r="X842" s="6"/>
      <c r="Y842" s="6"/>
      <c r="Z842" s="6"/>
      <c r="AA842" s="6" t="s">
        <v>650</v>
      </c>
    </row>
    <row r="843" spans="1:27" s="4" customFormat="1" ht="51.95" customHeight="1">
      <c r="A843" s="5">
        <v>0</v>
      </c>
      <c r="B843" s="6" t="s">
        <v>5259</v>
      </c>
      <c r="C843" s="7">
        <v>2500</v>
      </c>
      <c r="D843" s="8" t="s">
        <v>5260</v>
      </c>
      <c r="E843" s="8" t="s">
        <v>5261</v>
      </c>
      <c r="F843" s="8" t="s">
        <v>5262</v>
      </c>
      <c r="G843" s="6" t="s">
        <v>123</v>
      </c>
      <c r="H843" s="6" t="s">
        <v>52</v>
      </c>
      <c r="I843" s="8" t="s">
        <v>155</v>
      </c>
      <c r="J843" s="9">
        <v>1</v>
      </c>
      <c r="K843" s="9">
        <v>544</v>
      </c>
      <c r="L843" s="9">
        <v>2024</v>
      </c>
      <c r="M843" s="8" t="s">
        <v>5263</v>
      </c>
      <c r="N843" s="8" t="s">
        <v>74</v>
      </c>
      <c r="O843" s="8" t="s">
        <v>109</v>
      </c>
      <c r="P843" s="6" t="s">
        <v>55</v>
      </c>
      <c r="Q843" s="8" t="s">
        <v>56</v>
      </c>
      <c r="R843" s="10" t="s">
        <v>5264</v>
      </c>
      <c r="S843" s="11" t="s">
        <v>5265</v>
      </c>
      <c r="T843" s="6"/>
      <c r="U843" s="28" t="str">
        <f>HYPERLINK("https://media.infra-m.ru/2103/2103170/cover/2103170.jpg", "Обложка")</f>
        <v>Обложка</v>
      </c>
      <c r="V843" s="28" t="str">
        <f>HYPERLINK("https://znanium.ru/catalog/product/2103170", "Ознакомиться")</f>
        <v>Ознакомиться</v>
      </c>
      <c r="W843" s="8" t="s">
        <v>210</v>
      </c>
      <c r="X843" s="6"/>
      <c r="Y843" s="6"/>
      <c r="Z843" s="6"/>
      <c r="AA843" s="6" t="s">
        <v>47</v>
      </c>
    </row>
    <row r="844" spans="1:27" s="4" customFormat="1" ht="42" customHeight="1">
      <c r="A844" s="5">
        <v>0</v>
      </c>
      <c r="B844" s="6" t="s">
        <v>5266</v>
      </c>
      <c r="C844" s="7">
        <v>1124.9000000000001</v>
      </c>
      <c r="D844" s="8" t="s">
        <v>5267</v>
      </c>
      <c r="E844" s="8" t="s">
        <v>5268</v>
      </c>
      <c r="F844" s="8" t="s">
        <v>3954</v>
      </c>
      <c r="G844" s="6" t="s">
        <v>123</v>
      </c>
      <c r="H844" s="6" t="s">
        <v>470</v>
      </c>
      <c r="I844" s="8"/>
      <c r="J844" s="9">
        <v>1</v>
      </c>
      <c r="K844" s="9">
        <v>251</v>
      </c>
      <c r="L844" s="9">
        <v>2023</v>
      </c>
      <c r="M844" s="8" t="s">
        <v>5269</v>
      </c>
      <c r="N844" s="8" t="s">
        <v>74</v>
      </c>
      <c r="O844" s="8" t="s">
        <v>109</v>
      </c>
      <c r="P844" s="6" t="s">
        <v>55</v>
      </c>
      <c r="Q844" s="8" t="s">
        <v>56</v>
      </c>
      <c r="R844" s="10" t="s">
        <v>4535</v>
      </c>
      <c r="S844" s="11"/>
      <c r="T844" s="6"/>
      <c r="U844" s="28" t="str">
        <f>HYPERLINK("https://media.infra-m.ru/1914/1914065/cover/1914065.jpg", "Обложка")</f>
        <v>Обложка</v>
      </c>
      <c r="V844" s="28" t="str">
        <f>HYPERLINK("https://znanium.ru/catalog/product/1112979", "Ознакомиться")</f>
        <v>Ознакомиться</v>
      </c>
      <c r="W844" s="8" t="s">
        <v>2726</v>
      </c>
      <c r="X844" s="6"/>
      <c r="Y844" s="6"/>
      <c r="Z844" s="6"/>
      <c r="AA844" s="6" t="s">
        <v>59</v>
      </c>
    </row>
    <row r="845" spans="1:27" s="4" customFormat="1" ht="42" customHeight="1">
      <c r="A845" s="5">
        <v>0</v>
      </c>
      <c r="B845" s="6" t="s">
        <v>5270</v>
      </c>
      <c r="C845" s="7">
        <v>1130</v>
      </c>
      <c r="D845" s="8" t="s">
        <v>5271</v>
      </c>
      <c r="E845" s="8" t="s">
        <v>5268</v>
      </c>
      <c r="F845" s="8" t="s">
        <v>3954</v>
      </c>
      <c r="G845" s="6" t="s">
        <v>83</v>
      </c>
      <c r="H845" s="6" t="s">
        <v>470</v>
      </c>
      <c r="I845" s="8" t="s">
        <v>205</v>
      </c>
      <c r="J845" s="9">
        <v>1</v>
      </c>
      <c r="K845" s="9">
        <v>251</v>
      </c>
      <c r="L845" s="9">
        <v>2023</v>
      </c>
      <c r="M845" s="8" t="s">
        <v>5272</v>
      </c>
      <c r="N845" s="8" t="s">
        <v>74</v>
      </c>
      <c r="O845" s="8" t="s">
        <v>109</v>
      </c>
      <c r="P845" s="6" t="s">
        <v>55</v>
      </c>
      <c r="Q845" s="8" t="s">
        <v>207</v>
      </c>
      <c r="R845" s="10" t="s">
        <v>4539</v>
      </c>
      <c r="S845" s="11"/>
      <c r="T845" s="6"/>
      <c r="U845" s="28" t="str">
        <f>HYPERLINK("https://media.infra-m.ru/1914/1914070/cover/1914070.jpg", "Обложка")</f>
        <v>Обложка</v>
      </c>
      <c r="V845" s="28" t="str">
        <f>HYPERLINK("https://znanium.ru/catalog/product/1914070", "Ознакомиться")</f>
        <v>Ознакомиться</v>
      </c>
      <c r="W845" s="8" t="s">
        <v>2726</v>
      </c>
      <c r="X845" s="6"/>
      <c r="Y845" s="6"/>
      <c r="Z845" s="6" t="s">
        <v>235</v>
      </c>
      <c r="AA845" s="6" t="s">
        <v>141</v>
      </c>
    </row>
    <row r="846" spans="1:27" s="4" customFormat="1" ht="51.95" customHeight="1">
      <c r="A846" s="5">
        <v>0</v>
      </c>
      <c r="B846" s="6" t="s">
        <v>5273</v>
      </c>
      <c r="C846" s="7">
        <v>1500</v>
      </c>
      <c r="D846" s="8" t="s">
        <v>5274</v>
      </c>
      <c r="E846" s="8" t="s">
        <v>5275</v>
      </c>
      <c r="F846" s="8" t="s">
        <v>1067</v>
      </c>
      <c r="G846" s="6" t="s">
        <v>83</v>
      </c>
      <c r="H846" s="6" t="s">
        <v>38</v>
      </c>
      <c r="I846" s="8" t="s">
        <v>164</v>
      </c>
      <c r="J846" s="9">
        <v>1</v>
      </c>
      <c r="K846" s="9">
        <v>332</v>
      </c>
      <c r="L846" s="9">
        <v>2023</v>
      </c>
      <c r="M846" s="8" t="s">
        <v>5276</v>
      </c>
      <c r="N846" s="8" t="s">
        <v>74</v>
      </c>
      <c r="O846" s="8" t="s">
        <v>109</v>
      </c>
      <c r="P846" s="6" t="s">
        <v>176</v>
      </c>
      <c r="Q846" s="8" t="s">
        <v>56</v>
      </c>
      <c r="R846" s="10" t="s">
        <v>5277</v>
      </c>
      <c r="S846" s="11"/>
      <c r="T846" s="6"/>
      <c r="U846" s="28" t="str">
        <f>HYPERLINK("https://media.infra-m.ru/1930/1930690/cover/1930690.jpg", "Обложка")</f>
        <v>Обложка</v>
      </c>
      <c r="V846" s="28" t="str">
        <f>HYPERLINK("https://znanium.ru/catalog/product/1930690", "Ознакомиться")</f>
        <v>Ознакомиться</v>
      </c>
      <c r="W846" s="8" t="s">
        <v>1070</v>
      </c>
      <c r="X846" s="6"/>
      <c r="Y846" s="6"/>
      <c r="Z846" s="6"/>
      <c r="AA846" s="6" t="s">
        <v>676</v>
      </c>
    </row>
    <row r="847" spans="1:27" s="4" customFormat="1" ht="44.1" customHeight="1">
      <c r="A847" s="5">
        <v>0</v>
      </c>
      <c r="B847" s="6" t="s">
        <v>5278</v>
      </c>
      <c r="C847" s="13">
        <v>169.9</v>
      </c>
      <c r="D847" s="8" t="s">
        <v>5279</v>
      </c>
      <c r="E847" s="8" t="s">
        <v>5275</v>
      </c>
      <c r="F847" s="8" t="s">
        <v>1148</v>
      </c>
      <c r="G847" s="6" t="s">
        <v>37</v>
      </c>
      <c r="H847" s="6" t="s">
        <v>317</v>
      </c>
      <c r="I847" s="8" t="s">
        <v>3201</v>
      </c>
      <c r="J847" s="9">
        <v>1</v>
      </c>
      <c r="K847" s="9">
        <v>161</v>
      </c>
      <c r="L847" s="9">
        <v>2019</v>
      </c>
      <c r="M847" s="8" t="s">
        <v>5280</v>
      </c>
      <c r="N847" s="8" t="s">
        <v>74</v>
      </c>
      <c r="O847" s="8" t="s">
        <v>109</v>
      </c>
      <c r="P847" s="6" t="s">
        <v>3203</v>
      </c>
      <c r="Q847" s="8" t="s">
        <v>56</v>
      </c>
      <c r="R847" s="10" t="s">
        <v>5281</v>
      </c>
      <c r="S847" s="11"/>
      <c r="T847" s="6"/>
      <c r="U847" s="28" t="str">
        <f>HYPERLINK("https://media.infra-m.ru/0995/0995090/cover/995090.jpg", "Обложка")</f>
        <v>Обложка</v>
      </c>
      <c r="V847" s="28" t="str">
        <f>HYPERLINK("https://znanium.ru/catalog/product/995090", "Ознакомиться")</f>
        <v>Ознакомиться</v>
      </c>
      <c r="W847" s="8"/>
      <c r="X847" s="6"/>
      <c r="Y847" s="6"/>
      <c r="Z847" s="6"/>
      <c r="AA847" s="6" t="s">
        <v>1772</v>
      </c>
    </row>
    <row r="848" spans="1:27" s="4" customFormat="1" ht="51.95" customHeight="1">
      <c r="A848" s="5">
        <v>0</v>
      </c>
      <c r="B848" s="6" t="s">
        <v>5282</v>
      </c>
      <c r="C848" s="13">
        <v>734</v>
      </c>
      <c r="D848" s="8" t="s">
        <v>5283</v>
      </c>
      <c r="E848" s="8" t="s">
        <v>5284</v>
      </c>
      <c r="F848" s="8" t="s">
        <v>5285</v>
      </c>
      <c r="G848" s="6" t="s">
        <v>37</v>
      </c>
      <c r="H848" s="6" t="s">
        <v>38</v>
      </c>
      <c r="I848" s="8" t="s">
        <v>164</v>
      </c>
      <c r="J848" s="9">
        <v>1</v>
      </c>
      <c r="K848" s="9">
        <v>155</v>
      </c>
      <c r="L848" s="9">
        <v>2024</v>
      </c>
      <c r="M848" s="8" t="s">
        <v>5286</v>
      </c>
      <c r="N848" s="8" t="s">
        <v>74</v>
      </c>
      <c r="O848" s="8" t="s">
        <v>109</v>
      </c>
      <c r="P848" s="6" t="s">
        <v>55</v>
      </c>
      <c r="Q848" s="8" t="s">
        <v>56</v>
      </c>
      <c r="R848" s="10" t="s">
        <v>5287</v>
      </c>
      <c r="S848" s="11" t="s">
        <v>5288</v>
      </c>
      <c r="T848" s="6"/>
      <c r="U848" s="28" t="str">
        <f>HYPERLINK("https://media.infra-m.ru/2102/2102680/cover/2102680.jpg", "Обложка")</f>
        <v>Обложка</v>
      </c>
      <c r="V848" s="28" t="str">
        <f>HYPERLINK("https://znanium.ru/catalog/product/1144438", "Ознакомиться")</f>
        <v>Ознакомиться</v>
      </c>
      <c r="W848" s="8" t="s">
        <v>5289</v>
      </c>
      <c r="X848" s="6"/>
      <c r="Y848" s="6"/>
      <c r="Z848" s="6"/>
      <c r="AA848" s="6" t="s">
        <v>650</v>
      </c>
    </row>
    <row r="849" spans="1:27" s="4" customFormat="1" ht="51.95" customHeight="1">
      <c r="A849" s="5">
        <v>0</v>
      </c>
      <c r="B849" s="6" t="s">
        <v>5290</v>
      </c>
      <c r="C849" s="7">
        <v>2050</v>
      </c>
      <c r="D849" s="8" t="s">
        <v>5291</v>
      </c>
      <c r="E849" s="8" t="s">
        <v>5292</v>
      </c>
      <c r="F849" s="8" t="s">
        <v>5293</v>
      </c>
      <c r="G849" s="6" t="s">
        <v>123</v>
      </c>
      <c r="H849" s="6" t="s">
        <v>38</v>
      </c>
      <c r="I849" s="8" t="s">
        <v>155</v>
      </c>
      <c r="J849" s="9">
        <v>1</v>
      </c>
      <c r="K849" s="9">
        <v>436</v>
      </c>
      <c r="L849" s="9">
        <v>2024</v>
      </c>
      <c r="M849" s="8" t="s">
        <v>5294</v>
      </c>
      <c r="N849" s="8" t="s">
        <v>74</v>
      </c>
      <c r="O849" s="8" t="s">
        <v>109</v>
      </c>
      <c r="P849" s="6" t="s">
        <v>176</v>
      </c>
      <c r="Q849" s="8" t="s">
        <v>177</v>
      </c>
      <c r="R849" s="10" t="s">
        <v>3268</v>
      </c>
      <c r="S849" s="11" t="s">
        <v>5295</v>
      </c>
      <c r="T849" s="6" t="s">
        <v>190</v>
      </c>
      <c r="U849" s="28" t="str">
        <f>HYPERLINK("https://media.infra-m.ru/2140/2140291/cover/2140291.jpg", "Обложка")</f>
        <v>Обложка</v>
      </c>
      <c r="V849" s="28" t="str">
        <f>HYPERLINK("https://znanium.ru/catalog/product/2140291", "Ознакомиться")</f>
        <v>Ознакомиться</v>
      </c>
      <c r="W849" s="8" t="s">
        <v>210</v>
      </c>
      <c r="X849" s="6"/>
      <c r="Y849" s="6"/>
      <c r="Z849" s="6"/>
      <c r="AA849" s="6" t="s">
        <v>381</v>
      </c>
    </row>
    <row r="850" spans="1:27" s="4" customFormat="1" ht="51.95" customHeight="1">
      <c r="A850" s="5">
        <v>0</v>
      </c>
      <c r="B850" s="6" t="s">
        <v>5296</v>
      </c>
      <c r="C850" s="7">
        <v>1144</v>
      </c>
      <c r="D850" s="8" t="s">
        <v>5297</v>
      </c>
      <c r="E850" s="8" t="s">
        <v>5298</v>
      </c>
      <c r="F850" s="8" t="s">
        <v>5299</v>
      </c>
      <c r="G850" s="6" t="s">
        <v>83</v>
      </c>
      <c r="H850" s="6" t="s">
        <v>38</v>
      </c>
      <c r="I850" s="8" t="s">
        <v>155</v>
      </c>
      <c r="J850" s="9">
        <v>1</v>
      </c>
      <c r="K850" s="9">
        <v>249</v>
      </c>
      <c r="L850" s="9">
        <v>2023</v>
      </c>
      <c r="M850" s="8" t="s">
        <v>5300</v>
      </c>
      <c r="N850" s="8" t="s">
        <v>74</v>
      </c>
      <c r="O850" s="8" t="s">
        <v>109</v>
      </c>
      <c r="P850" s="6" t="s">
        <v>55</v>
      </c>
      <c r="Q850" s="8" t="s">
        <v>56</v>
      </c>
      <c r="R850" s="10" t="s">
        <v>5301</v>
      </c>
      <c r="S850" s="11" t="s">
        <v>5302</v>
      </c>
      <c r="T850" s="6"/>
      <c r="U850" s="28" t="str">
        <f>HYPERLINK("https://media.infra-m.ru/2059/2059577/cover/2059577.jpg", "Обложка")</f>
        <v>Обложка</v>
      </c>
      <c r="V850" s="28" t="str">
        <f>HYPERLINK("https://znanium.ru/catalog/product/2001670", "Ознакомиться")</f>
        <v>Ознакомиться</v>
      </c>
      <c r="W850" s="8" t="s">
        <v>441</v>
      </c>
      <c r="X850" s="6"/>
      <c r="Y850" s="6"/>
      <c r="Z850" s="6"/>
      <c r="AA850" s="6" t="s">
        <v>381</v>
      </c>
    </row>
    <row r="851" spans="1:27" s="4" customFormat="1" ht="51.95" customHeight="1">
      <c r="A851" s="5">
        <v>0</v>
      </c>
      <c r="B851" s="6" t="s">
        <v>5303</v>
      </c>
      <c r="C851" s="13">
        <v>734</v>
      </c>
      <c r="D851" s="8" t="s">
        <v>5304</v>
      </c>
      <c r="E851" s="8" t="s">
        <v>5298</v>
      </c>
      <c r="F851" s="8" t="s">
        <v>5305</v>
      </c>
      <c r="G851" s="6" t="s">
        <v>83</v>
      </c>
      <c r="H851" s="6" t="s">
        <v>38</v>
      </c>
      <c r="I851" s="8" t="s">
        <v>155</v>
      </c>
      <c r="J851" s="9">
        <v>1</v>
      </c>
      <c r="K851" s="9">
        <v>155</v>
      </c>
      <c r="L851" s="9">
        <v>2024</v>
      </c>
      <c r="M851" s="8" t="s">
        <v>5306</v>
      </c>
      <c r="N851" s="8" t="s">
        <v>74</v>
      </c>
      <c r="O851" s="8" t="s">
        <v>109</v>
      </c>
      <c r="P851" s="6" t="s">
        <v>55</v>
      </c>
      <c r="Q851" s="8" t="s">
        <v>187</v>
      </c>
      <c r="R851" s="10" t="s">
        <v>5307</v>
      </c>
      <c r="S851" s="11" t="s">
        <v>5308</v>
      </c>
      <c r="T851" s="6"/>
      <c r="U851" s="28" t="str">
        <f>HYPERLINK("https://media.infra-m.ru/2151/2151180/cover/2151180.jpg", "Обложка")</f>
        <v>Обложка</v>
      </c>
      <c r="V851" s="28" t="str">
        <f>HYPERLINK("https://znanium.ru/catalog/product/2102164", "Ознакомиться")</f>
        <v>Ознакомиться</v>
      </c>
      <c r="W851" s="8" t="s">
        <v>5309</v>
      </c>
      <c r="X851" s="6"/>
      <c r="Y851" s="6"/>
      <c r="Z851" s="6"/>
      <c r="AA851" s="6" t="s">
        <v>290</v>
      </c>
    </row>
    <row r="852" spans="1:27" s="4" customFormat="1" ht="51.95" customHeight="1">
      <c r="A852" s="5">
        <v>0</v>
      </c>
      <c r="B852" s="6" t="s">
        <v>5310</v>
      </c>
      <c r="C852" s="13">
        <v>990</v>
      </c>
      <c r="D852" s="8" t="s">
        <v>5311</v>
      </c>
      <c r="E852" s="8" t="s">
        <v>5312</v>
      </c>
      <c r="F852" s="8" t="s">
        <v>2095</v>
      </c>
      <c r="G852" s="6" t="s">
        <v>83</v>
      </c>
      <c r="H852" s="6" t="s">
        <v>38</v>
      </c>
      <c r="I852" s="8" t="s">
        <v>39</v>
      </c>
      <c r="J852" s="9">
        <v>1</v>
      </c>
      <c r="K852" s="9">
        <v>289</v>
      </c>
      <c r="L852" s="9">
        <v>2019</v>
      </c>
      <c r="M852" s="8" t="s">
        <v>5313</v>
      </c>
      <c r="N852" s="8" t="s">
        <v>74</v>
      </c>
      <c r="O852" s="8" t="s">
        <v>75</v>
      </c>
      <c r="P852" s="6" t="s">
        <v>43</v>
      </c>
      <c r="Q852" s="8" t="s">
        <v>44</v>
      </c>
      <c r="R852" s="10" t="s">
        <v>5314</v>
      </c>
      <c r="S852" s="11"/>
      <c r="T852" s="6"/>
      <c r="U852" s="28" t="str">
        <f>HYPERLINK("https://media.infra-m.ru/1031/1031325/cover/1031325.jpg", "Обложка")</f>
        <v>Обложка</v>
      </c>
      <c r="V852" s="28" t="str">
        <f>HYPERLINK("https://znanium.ru/catalog/product/1031325", "Ознакомиться")</f>
        <v>Ознакомиться</v>
      </c>
      <c r="W852" s="8" t="s">
        <v>1085</v>
      </c>
      <c r="X852" s="6"/>
      <c r="Y852" s="6"/>
      <c r="Z852" s="6"/>
      <c r="AA852" s="6" t="s">
        <v>68</v>
      </c>
    </row>
    <row r="853" spans="1:27" s="4" customFormat="1" ht="42" customHeight="1">
      <c r="A853" s="5">
        <v>0</v>
      </c>
      <c r="B853" s="6" t="s">
        <v>5315</v>
      </c>
      <c r="C853" s="13">
        <v>774.9</v>
      </c>
      <c r="D853" s="8" t="s">
        <v>5316</v>
      </c>
      <c r="E853" s="8" t="s">
        <v>5317</v>
      </c>
      <c r="F853" s="8" t="s">
        <v>5318</v>
      </c>
      <c r="G853" s="6" t="s">
        <v>83</v>
      </c>
      <c r="H853" s="6" t="s">
        <v>618</v>
      </c>
      <c r="I853" s="8"/>
      <c r="J853" s="9">
        <v>1</v>
      </c>
      <c r="K853" s="9">
        <v>184</v>
      </c>
      <c r="L853" s="9">
        <v>2022</v>
      </c>
      <c r="M853" s="8" t="s">
        <v>5319</v>
      </c>
      <c r="N853" s="8" t="s">
        <v>41</v>
      </c>
      <c r="O853" s="8" t="s">
        <v>1299</v>
      </c>
      <c r="P853" s="6" t="s">
        <v>43</v>
      </c>
      <c r="Q853" s="8" t="s">
        <v>44</v>
      </c>
      <c r="R853" s="10" t="s">
        <v>5320</v>
      </c>
      <c r="S853" s="11"/>
      <c r="T853" s="6"/>
      <c r="U853" s="28" t="str">
        <f>HYPERLINK("https://media.infra-m.ru/1875/1875346/cover/1875346.jpg", "Обложка")</f>
        <v>Обложка</v>
      </c>
      <c r="V853" s="28" t="str">
        <f>HYPERLINK("https://znanium.ru/catalog/product/1347316", "Ознакомиться")</f>
        <v>Ознакомиться</v>
      </c>
      <c r="W853" s="8" t="s">
        <v>1334</v>
      </c>
      <c r="X853" s="6"/>
      <c r="Y853" s="6"/>
      <c r="Z853" s="6"/>
      <c r="AA853" s="6" t="s">
        <v>650</v>
      </c>
    </row>
    <row r="854" spans="1:27" s="4" customFormat="1" ht="51.95" customHeight="1">
      <c r="A854" s="5">
        <v>0</v>
      </c>
      <c r="B854" s="6" t="s">
        <v>5321</v>
      </c>
      <c r="C854" s="13">
        <v>560</v>
      </c>
      <c r="D854" s="8" t="s">
        <v>5322</v>
      </c>
      <c r="E854" s="8" t="s">
        <v>5323</v>
      </c>
      <c r="F854" s="8" t="s">
        <v>5324</v>
      </c>
      <c r="G854" s="6" t="s">
        <v>37</v>
      </c>
      <c r="H854" s="6" t="s">
        <v>38</v>
      </c>
      <c r="I854" s="8" t="s">
        <v>5325</v>
      </c>
      <c r="J854" s="9">
        <v>1</v>
      </c>
      <c r="K854" s="9">
        <v>124</v>
      </c>
      <c r="L854" s="9">
        <v>2024</v>
      </c>
      <c r="M854" s="8" t="s">
        <v>5326</v>
      </c>
      <c r="N854" s="8" t="s">
        <v>74</v>
      </c>
      <c r="O854" s="8" t="s">
        <v>109</v>
      </c>
      <c r="P854" s="6" t="s">
        <v>43</v>
      </c>
      <c r="Q854" s="8" t="s">
        <v>44</v>
      </c>
      <c r="R854" s="10" t="s">
        <v>5327</v>
      </c>
      <c r="S854" s="11"/>
      <c r="T854" s="6"/>
      <c r="U854" s="28" t="str">
        <f>HYPERLINK("https://media.infra-m.ru/2048/2048140/cover/2048140.jpg", "Обложка")</f>
        <v>Обложка</v>
      </c>
      <c r="V854" s="28" t="str">
        <f>HYPERLINK("https://znanium.ru/catalog/product/2048140", "Ознакомиться")</f>
        <v>Ознакомиться</v>
      </c>
      <c r="W854" s="8" t="s">
        <v>5328</v>
      </c>
      <c r="X854" s="6"/>
      <c r="Y854" s="6"/>
      <c r="Z854" s="6"/>
      <c r="AA854" s="6" t="s">
        <v>78</v>
      </c>
    </row>
    <row r="855" spans="1:27" s="4" customFormat="1" ht="44.1" customHeight="1">
      <c r="A855" s="5">
        <v>0</v>
      </c>
      <c r="B855" s="6" t="s">
        <v>5329</v>
      </c>
      <c r="C855" s="13">
        <v>550</v>
      </c>
      <c r="D855" s="8" t="s">
        <v>5330</v>
      </c>
      <c r="E855" s="8" t="s">
        <v>5331</v>
      </c>
      <c r="F855" s="8" t="s">
        <v>5332</v>
      </c>
      <c r="G855" s="6" t="s">
        <v>37</v>
      </c>
      <c r="H855" s="6" t="s">
        <v>38</v>
      </c>
      <c r="I855" s="8" t="s">
        <v>39</v>
      </c>
      <c r="J855" s="9">
        <v>1</v>
      </c>
      <c r="K855" s="9">
        <v>116</v>
      </c>
      <c r="L855" s="9">
        <v>2024</v>
      </c>
      <c r="M855" s="8" t="s">
        <v>5333</v>
      </c>
      <c r="N855" s="8" t="s">
        <v>41</v>
      </c>
      <c r="O855" s="8" t="s">
        <v>54</v>
      </c>
      <c r="P855" s="6" t="s">
        <v>43</v>
      </c>
      <c r="Q855" s="8" t="s">
        <v>44</v>
      </c>
      <c r="R855" s="10" t="s">
        <v>5334</v>
      </c>
      <c r="S855" s="11"/>
      <c r="T855" s="6"/>
      <c r="U855" s="28" t="str">
        <f>HYPERLINK("https://media.infra-m.ru/2086/2086855/cover/2086855.jpg", "Обложка")</f>
        <v>Обложка</v>
      </c>
      <c r="V855" s="28" t="str">
        <f>HYPERLINK("https://znanium.ru/catalog/product/2086855", "Ознакомиться")</f>
        <v>Ознакомиться</v>
      </c>
      <c r="W855" s="8"/>
      <c r="X855" s="6"/>
      <c r="Y855" s="6"/>
      <c r="Z855" s="6"/>
      <c r="AA855" s="6" t="s">
        <v>59</v>
      </c>
    </row>
    <row r="856" spans="1:27" s="4" customFormat="1" ht="51.95" customHeight="1">
      <c r="A856" s="5">
        <v>0</v>
      </c>
      <c r="B856" s="6" t="s">
        <v>5335</v>
      </c>
      <c r="C856" s="13">
        <v>560</v>
      </c>
      <c r="D856" s="8" t="s">
        <v>5336</v>
      </c>
      <c r="E856" s="8" t="s">
        <v>5337</v>
      </c>
      <c r="F856" s="8" t="s">
        <v>5338</v>
      </c>
      <c r="G856" s="6" t="s">
        <v>37</v>
      </c>
      <c r="H856" s="6" t="s">
        <v>38</v>
      </c>
      <c r="I856" s="8" t="s">
        <v>155</v>
      </c>
      <c r="J856" s="9">
        <v>1</v>
      </c>
      <c r="K856" s="9">
        <v>115</v>
      </c>
      <c r="L856" s="9">
        <v>2023</v>
      </c>
      <c r="M856" s="8" t="s">
        <v>5339</v>
      </c>
      <c r="N856" s="8" t="s">
        <v>74</v>
      </c>
      <c r="O856" s="8" t="s">
        <v>75</v>
      </c>
      <c r="P856" s="6" t="s">
        <v>55</v>
      </c>
      <c r="Q856" s="8" t="s">
        <v>177</v>
      </c>
      <c r="R856" s="10" t="s">
        <v>5340</v>
      </c>
      <c r="S856" s="11"/>
      <c r="T856" s="6" t="s">
        <v>190</v>
      </c>
      <c r="U856" s="28" t="str">
        <f>HYPERLINK("https://media.infra-m.ru/2017/2017318/cover/2017318.jpg", "Обложка")</f>
        <v>Обложка</v>
      </c>
      <c r="V856" s="28" t="str">
        <f>HYPERLINK("https://znanium.ru/catalog/product/2017318", "Ознакомиться")</f>
        <v>Ознакомиться</v>
      </c>
      <c r="W856" s="8" t="s">
        <v>5341</v>
      </c>
      <c r="X856" s="6"/>
      <c r="Y856" s="6"/>
      <c r="Z856" s="6"/>
      <c r="AA856" s="6" t="s">
        <v>364</v>
      </c>
    </row>
    <row r="857" spans="1:27" s="4" customFormat="1" ht="42" customHeight="1">
      <c r="A857" s="5">
        <v>0</v>
      </c>
      <c r="B857" s="6" t="s">
        <v>5342</v>
      </c>
      <c r="C857" s="13">
        <v>714</v>
      </c>
      <c r="D857" s="8" t="s">
        <v>5343</v>
      </c>
      <c r="E857" s="8" t="s">
        <v>5344</v>
      </c>
      <c r="F857" s="8" t="s">
        <v>5345</v>
      </c>
      <c r="G857" s="6" t="s">
        <v>37</v>
      </c>
      <c r="H857" s="6" t="s">
        <v>38</v>
      </c>
      <c r="I857" s="8" t="s">
        <v>39</v>
      </c>
      <c r="J857" s="9">
        <v>1</v>
      </c>
      <c r="K857" s="9">
        <v>149</v>
      </c>
      <c r="L857" s="9">
        <v>2024</v>
      </c>
      <c r="M857" s="8" t="s">
        <v>5346</v>
      </c>
      <c r="N857" s="8" t="s">
        <v>74</v>
      </c>
      <c r="O857" s="8" t="s">
        <v>93</v>
      </c>
      <c r="P857" s="6" t="s">
        <v>43</v>
      </c>
      <c r="Q857" s="8" t="s">
        <v>44</v>
      </c>
      <c r="R857" s="10" t="s">
        <v>1054</v>
      </c>
      <c r="S857" s="11"/>
      <c r="T857" s="6"/>
      <c r="U857" s="28" t="str">
        <f>HYPERLINK("https://media.infra-m.ru/2052/2052446/cover/2052446.jpg", "Обложка")</f>
        <v>Обложка</v>
      </c>
      <c r="V857" s="28" t="str">
        <f>HYPERLINK("https://znanium.ru/catalog/product/2052446", "Ознакомиться")</f>
        <v>Ознакомиться</v>
      </c>
      <c r="W857" s="8" t="s">
        <v>5347</v>
      </c>
      <c r="X857" s="6"/>
      <c r="Y857" s="6"/>
      <c r="Z857" s="6"/>
      <c r="AA857" s="6" t="s">
        <v>68</v>
      </c>
    </row>
    <row r="858" spans="1:27" s="4" customFormat="1" ht="42" customHeight="1">
      <c r="A858" s="5">
        <v>0</v>
      </c>
      <c r="B858" s="6" t="s">
        <v>5348</v>
      </c>
      <c r="C858" s="13">
        <v>434.9</v>
      </c>
      <c r="D858" s="8" t="s">
        <v>5349</v>
      </c>
      <c r="E858" s="8" t="s">
        <v>5350</v>
      </c>
      <c r="F858" s="8" t="s">
        <v>5351</v>
      </c>
      <c r="G858" s="6" t="s">
        <v>37</v>
      </c>
      <c r="H858" s="6" t="s">
        <v>38</v>
      </c>
      <c r="I858" s="8" t="s">
        <v>325</v>
      </c>
      <c r="J858" s="9">
        <v>1</v>
      </c>
      <c r="K858" s="9">
        <v>123</v>
      </c>
      <c r="L858" s="9">
        <v>2020</v>
      </c>
      <c r="M858" s="8" t="s">
        <v>5352</v>
      </c>
      <c r="N858" s="8" t="s">
        <v>41</v>
      </c>
      <c r="O858" s="8" t="s">
        <v>65</v>
      </c>
      <c r="P858" s="6" t="s">
        <v>43</v>
      </c>
      <c r="Q858" s="8" t="s">
        <v>44</v>
      </c>
      <c r="R858" s="10"/>
      <c r="S858" s="11"/>
      <c r="T858" s="6"/>
      <c r="U858" s="28" t="str">
        <f>HYPERLINK("https://media.infra-m.ru/1045/1045743/cover/1045743.jpg", "Обложка")</f>
        <v>Обложка</v>
      </c>
      <c r="V858" s="12"/>
      <c r="W858" s="8" t="s">
        <v>327</v>
      </c>
      <c r="X858" s="6"/>
      <c r="Y858" s="6"/>
      <c r="Z858" s="6"/>
      <c r="AA858" s="6" t="s">
        <v>68</v>
      </c>
    </row>
    <row r="859" spans="1:27" s="4" customFormat="1" ht="51.95" customHeight="1">
      <c r="A859" s="5">
        <v>0</v>
      </c>
      <c r="B859" s="6" t="s">
        <v>5353</v>
      </c>
      <c r="C859" s="13">
        <v>700</v>
      </c>
      <c r="D859" s="8" t="s">
        <v>5354</v>
      </c>
      <c r="E859" s="8" t="s">
        <v>5355</v>
      </c>
      <c r="F859" s="8" t="s">
        <v>5356</v>
      </c>
      <c r="G859" s="6" t="s">
        <v>37</v>
      </c>
      <c r="H859" s="6" t="s">
        <v>38</v>
      </c>
      <c r="I859" s="8" t="s">
        <v>39</v>
      </c>
      <c r="J859" s="9">
        <v>1</v>
      </c>
      <c r="K859" s="9">
        <v>149</v>
      </c>
      <c r="L859" s="9">
        <v>2024</v>
      </c>
      <c r="M859" s="8" t="s">
        <v>5357</v>
      </c>
      <c r="N859" s="8" t="s">
        <v>41</v>
      </c>
      <c r="O859" s="8" t="s">
        <v>65</v>
      </c>
      <c r="P859" s="6" t="s">
        <v>43</v>
      </c>
      <c r="Q859" s="8" t="s">
        <v>44</v>
      </c>
      <c r="R859" s="10" t="s">
        <v>5358</v>
      </c>
      <c r="S859" s="11"/>
      <c r="T859" s="6"/>
      <c r="U859" s="28" t="str">
        <f>HYPERLINK("https://media.infra-m.ru/2096/2096926/cover/2096926.jpg", "Обложка")</f>
        <v>Обложка</v>
      </c>
      <c r="V859" s="28" t="str">
        <f>HYPERLINK("https://znanium.ru/catalog/product/2096926", "Ознакомиться")</f>
        <v>Ознакомиться</v>
      </c>
      <c r="W859" s="8" t="s">
        <v>2726</v>
      </c>
      <c r="X859" s="6"/>
      <c r="Y859" s="6"/>
      <c r="Z859" s="6"/>
      <c r="AA859" s="6" t="s">
        <v>47</v>
      </c>
    </row>
    <row r="860" spans="1:27" s="4" customFormat="1" ht="44.1" customHeight="1">
      <c r="A860" s="5">
        <v>0</v>
      </c>
      <c r="B860" s="6" t="s">
        <v>5359</v>
      </c>
      <c r="C860" s="13">
        <v>870</v>
      </c>
      <c r="D860" s="8" t="s">
        <v>5360</v>
      </c>
      <c r="E860" s="8" t="s">
        <v>5361</v>
      </c>
      <c r="F860" s="8" t="s">
        <v>5362</v>
      </c>
      <c r="G860" s="6" t="s">
        <v>37</v>
      </c>
      <c r="H860" s="6" t="s">
        <v>38</v>
      </c>
      <c r="I860" s="8" t="s">
        <v>137</v>
      </c>
      <c r="J860" s="9">
        <v>1</v>
      </c>
      <c r="K860" s="9">
        <v>187</v>
      </c>
      <c r="L860" s="9">
        <v>2024</v>
      </c>
      <c r="M860" s="8" t="s">
        <v>5363</v>
      </c>
      <c r="N860" s="8" t="s">
        <v>41</v>
      </c>
      <c r="O860" s="8" t="s">
        <v>65</v>
      </c>
      <c r="P860" s="6" t="s">
        <v>43</v>
      </c>
      <c r="Q860" s="8" t="s">
        <v>44</v>
      </c>
      <c r="R860" s="10" t="s">
        <v>5364</v>
      </c>
      <c r="S860" s="11"/>
      <c r="T860" s="6"/>
      <c r="U860" s="28" t="str">
        <f>HYPERLINK("https://media.infra-m.ru/2122/2122483/cover/2122483.jpg", "Обложка")</f>
        <v>Обложка</v>
      </c>
      <c r="V860" s="28" t="str">
        <f>HYPERLINK("https://znanium.ru/catalog/product/2122483", "Ознакомиться")</f>
        <v>Ознакомиться</v>
      </c>
      <c r="W860" s="8" t="s">
        <v>140</v>
      </c>
      <c r="X860" s="6"/>
      <c r="Y860" s="6"/>
      <c r="Z860" s="6"/>
      <c r="AA860" s="6" t="s">
        <v>141</v>
      </c>
    </row>
    <row r="861" spans="1:27" s="4" customFormat="1" ht="44.1" customHeight="1">
      <c r="A861" s="5">
        <v>0</v>
      </c>
      <c r="B861" s="6" t="s">
        <v>5365</v>
      </c>
      <c r="C861" s="13">
        <v>784</v>
      </c>
      <c r="D861" s="8" t="s">
        <v>5366</v>
      </c>
      <c r="E861" s="8" t="s">
        <v>5367</v>
      </c>
      <c r="F861" s="8" t="s">
        <v>406</v>
      </c>
      <c r="G861" s="6" t="s">
        <v>37</v>
      </c>
      <c r="H861" s="6" t="s">
        <v>38</v>
      </c>
      <c r="I861" s="8" t="s">
        <v>39</v>
      </c>
      <c r="J861" s="9">
        <v>1</v>
      </c>
      <c r="K861" s="9">
        <v>172</v>
      </c>
      <c r="L861" s="9">
        <v>2023</v>
      </c>
      <c r="M861" s="8" t="s">
        <v>5368</v>
      </c>
      <c r="N861" s="8" t="s">
        <v>74</v>
      </c>
      <c r="O861" s="8" t="s">
        <v>75</v>
      </c>
      <c r="P861" s="6" t="s">
        <v>43</v>
      </c>
      <c r="Q861" s="8" t="s">
        <v>44</v>
      </c>
      <c r="R861" s="10" t="s">
        <v>3752</v>
      </c>
      <c r="S861" s="11"/>
      <c r="T861" s="6"/>
      <c r="U861" s="28" t="str">
        <f>HYPERLINK("https://media.infra-m.ru/2006/2006086/cover/2006086.jpg", "Обложка")</f>
        <v>Обложка</v>
      </c>
      <c r="V861" s="28" t="str">
        <f>HYPERLINK("https://znanium.ru/catalog/product/1070324", "Ознакомиться")</f>
        <v>Ознакомиться</v>
      </c>
      <c r="W861" s="8" t="s">
        <v>409</v>
      </c>
      <c r="X861" s="6"/>
      <c r="Y861" s="6"/>
      <c r="Z861" s="6"/>
      <c r="AA861" s="6" t="s">
        <v>68</v>
      </c>
    </row>
    <row r="862" spans="1:27" s="4" customFormat="1" ht="51.95" customHeight="1">
      <c r="A862" s="5">
        <v>0</v>
      </c>
      <c r="B862" s="6" t="s">
        <v>5369</v>
      </c>
      <c r="C862" s="13">
        <v>560</v>
      </c>
      <c r="D862" s="8" t="s">
        <v>5370</v>
      </c>
      <c r="E862" s="8" t="s">
        <v>5371</v>
      </c>
      <c r="F862" s="8" t="s">
        <v>5372</v>
      </c>
      <c r="G862" s="6" t="s">
        <v>37</v>
      </c>
      <c r="H862" s="6" t="s">
        <v>38</v>
      </c>
      <c r="I862" s="8" t="s">
        <v>39</v>
      </c>
      <c r="J862" s="9">
        <v>1</v>
      </c>
      <c r="K862" s="9">
        <v>165</v>
      </c>
      <c r="L862" s="9">
        <v>2019</v>
      </c>
      <c r="M862" s="8" t="s">
        <v>5373</v>
      </c>
      <c r="N862" s="8" t="s">
        <v>41</v>
      </c>
      <c r="O862" s="8" t="s">
        <v>65</v>
      </c>
      <c r="P862" s="6" t="s">
        <v>43</v>
      </c>
      <c r="Q862" s="8" t="s">
        <v>44</v>
      </c>
      <c r="R862" s="10" t="s">
        <v>5374</v>
      </c>
      <c r="S862" s="11"/>
      <c r="T862" s="6"/>
      <c r="U862" s="28" t="str">
        <f>HYPERLINK("https://media.infra-m.ru/0987/0987753/cover/987753.jpg", "Обложка")</f>
        <v>Обложка</v>
      </c>
      <c r="V862" s="28" t="str">
        <f>HYPERLINK("https://znanium.ru/catalog/product/987753", "Ознакомиться")</f>
        <v>Ознакомиться</v>
      </c>
      <c r="W862" s="8" t="s">
        <v>4060</v>
      </c>
      <c r="X862" s="6"/>
      <c r="Y862" s="6"/>
      <c r="Z862" s="6"/>
      <c r="AA862" s="6" t="s">
        <v>169</v>
      </c>
    </row>
    <row r="863" spans="1:27" s="4" customFormat="1" ht="42" customHeight="1">
      <c r="A863" s="5">
        <v>0</v>
      </c>
      <c r="B863" s="6" t="s">
        <v>5375</v>
      </c>
      <c r="C863" s="13">
        <v>980</v>
      </c>
      <c r="D863" s="8" t="s">
        <v>5376</v>
      </c>
      <c r="E863" s="8" t="s">
        <v>5377</v>
      </c>
      <c r="F863" s="8" t="s">
        <v>145</v>
      </c>
      <c r="G863" s="6" t="s">
        <v>83</v>
      </c>
      <c r="H863" s="6" t="s">
        <v>38</v>
      </c>
      <c r="I863" s="8" t="s">
        <v>39</v>
      </c>
      <c r="J863" s="9">
        <v>1</v>
      </c>
      <c r="K863" s="9">
        <v>257</v>
      </c>
      <c r="L863" s="9">
        <v>2022</v>
      </c>
      <c r="M863" s="8" t="s">
        <v>5378</v>
      </c>
      <c r="N863" s="8" t="s">
        <v>41</v>
      </c>
      <c r="O863" s="8" t="s">
        <v>42</v>
      </c>
      <c r="P863" s="6" t="s">
        <v>43</v>
      </c>
      <c r="Q863" s="8" t="s">
        <v>44</v>
      </c>
      <c r="R863" s="10" t="s">
        <v>1198</v>
      </c>
      <c r="S863" s="11"/>
      <c r="T863" s="6"/>
      <c r="U863" s="28" t="str">
        <f>HYPERLINK("https://media.infra-m.ru/1740/1740729/cover/1740729.jpg", "Обложка")</f>
        <v>Обложка</v>
      </c>
      <c r="V863" s="28" t="str">
        <f>HYPERLINK("https://znanium.ru/catalog/product/1045804", "Ознакомиться")</f>
        <v>Ознакомиться</v>
      </c>
      <c r="W863" s="8" t="s">
        <v>149</v>
      </c>
      <c r="X863" s="6"/>
      <c r="Y863" s="6"/>
      <c r="Z863" s="6"/>
      <c r="AA863" s="6" t="s">
        <v>650</v>
      </c>
    </row>
    <row r="864" spans="1:27" s="4" customFormat="1" ht="44.1" customHeight="1">
      <c r="A864" s="5">
        <v>0</v>
      </c>
      <c r="B864" s="6" t="s">
        <v>5379</v>
      </c>
      <c r="C864" s="13">
        <v>590</v>
      </c>
      <c r="D864" s="8" t="s">
        <v>5380</v>
      </c>
      <c r="E864" s="8" t="s">
        <v>5381</v>
      </c>
      <c r="F864" s="8" t="s">
        <v>5382</v>
      </c>
      <c r="G864" s="6" t="s">
        <v>37</v>
      </c>
      <c r="H864" s="6" t="s">
        <v>38</v>
      </c>
      <c r="I864" s="8" t="s">
        <v>39</v>
      </c>
      <c r="J864" s="9">
        <v>1</v>
      </c>
      <c r="K864" s="9">
        <v>164</v>
      </c>
      <c r="L864" s="9">
        <v>2020</v>
      </c>
      <c r="M864" s="8" t="s">
        <v>5383</v>
      </c>
      <c r="N864" s="8" t="s">
        <v>41</v>
      </c>
      <c r="O864" s="8" t="s">
        <v>65</v>
      </c>
      <c r="P864" s="6" t="s">
        <v>43</v>
      </c>
      <c r="Q864" s="8" t="s">
        <v>44</v>
      </c>
      <c r="R864" s="10" t="s">
        <v>2632</v>
      </c>
      <c r="S864" s="11"/>
      <c r="T864" s="6"/>
      <c r="U864" s="28" t="str">
        <f>HYPERLINK("https://media.infra-m.ru/1048/1048128/cover/1048128.jpg", "Обложка")</f>
        <v>Обложка</v>
      </c>
      <c r="V864" s="28" t="str">
        <f>HYPERLINK("https://znanium.ru/catalog/product/1048128", "Ознакомиться")</f>
        <v>Ознакомиться</v>
      </c>
      <c r="W864" s="8" t="s">
        <v>3506</v>
      </c>
      <c r="X864" s="6"/>
      <c r="Y864" s="6"/>
      <c r="Z864" s="6"/>
      <c r="AA864" s="6" t="s">
        <v>141</v>
      </c>
    </row>
    <row r="865" spans="1:27" s="4" customFormat="1" ht="44.1" customHeight="1">
      <c r="A865" s="5">
        <v>0</v>
      </c>
      <c r="B865" s="6" t="s">
        <v>5384</v>
      </c>
      <c r="C865" s="7">
        <v>1574</v>
      </c>
      <c r="D865" s="8" t="s">
        <v>5385</v>
      </c>
      <c r="E865" s="8" t="s">
        <v>5386</v>
      </c>
      <c r="F865" s="8" t="s">
        <v>2898</v>
      </c>
      <c r="G865" s="6" t="s">
        <v>123</v>
      </c>
      <c r="H865" s="6" t="s">
        <v>38</v>
      </c>
      <c r="I865" s="8" t="s">
        <v>164</v>
      </c>
      <c r="J865" s="9">
        <v>1</v>
      </c>
      <c r="K865" s="9">
        <v>335</v>
      </c>
      <c r="L865" s="9">
        <v>2024</v>
      </c>
      <c r="M865" s="8" t="s">
        <v>5387</v>
      </c>
      <c r="N865" s="8" t="s">
        <v>74</v>
      </c>
      <c r="O865" s="8" t="s">
        <v>1559</v>
      </c>
      <c r="P865" s="6" t="s">
        <v>176</v>
      </c>
      <c r="Q865" s="8" t="s">
        <v>56</v>
      </c>
      <c r="R865" s="10" t="s">
        <v>5388</v>
      </c>
      <c r="S865" s="11"/>
      <c r="T865" s="6"/>
      <c r="U865" s="28" t="str">
        <f>HYPERLINK("https://media.infra-m.ru/2058/2058776/cover/2058776.jpg", "Обложка")</f>
        <v>Обложка</v>
      </c>
      <c r="V865" s="28" t="str">
        <f>HYPERLINK("https://znanium.ru/catalog/product/1861660", "Ознакомиться")</f>
        <v>Ознакомиться</v>
      </c>
      <c r="W865" s="8" t="s">
        <v>2900</v>
      </c>
      <c r="X865" s="6"/>
      <c r="Y865" s="6"/>
      <c r="Z865" s="6"/>
      <c r="AA865" s="6" t="s">
        <v>306</v>
      </c>
    </row>
    <row r="866" spans="1:27" s="4" customFormat="1" ht="51.95" customHeight="1">
      <c r="A866" s="5">
        <v>0</v>
      </c>
      <c r="B866" s="6" t="s">
        <v>5389</v>
      </c>
      <c r="C866" s="7">
        <v>1710</v>
      </c>
      <c r="D866" s="8" t="s">
        <v>5390</v>
      </c>
      <c r="E866" s="8" t="s">
        <v>5391</v>
      </c>
      <c r="F866" s="8" t="s">
        <v>5392</v>
      </c>
      <c r="G866" s="6" t="s">
        <v>83</v>
      </c>
      <c r="H866" s="6" t="s">
        <v>38</v>
      </c>
      <c r="I866" s="8" t="s">
        <v>155</v>
      </c>
      <c r="J866" s="9">
        <v>1</v>
      </c>
      <c r="K866" s="9">
        <v>370</v>
      </c>
      <c r="L866" s="9">
        <v>2024</v>
      </c>
      <c r="M866" s="8" t="s">
        <v>5393</v>
      </c>
      <c r="N866" s="8" t="s">
        <v>74</v>
      </c>
      <c r="O866" s="8" t="s">
        <v>1559</v>
      </c>
      <c r="P866" s="6" t="s">
        <v>55</v>
      </c>
      <c r="Q866" s="8" t="s">
        <v>56</v>
      </c>
      <c r="R866" s="10" t="s">
        <v>5394</v>
      </c>
      <c r="S866" s="11" t="s">
        <v>5395</v>
      </c>
      <c r="T866" s="6" t="s">
        <v>190</v>
      </c>
      <c r="U866" s="28" t="str">
        <f>HYPERLINK("https://media.infra-m.ru/2091/2091883/cover/2091883.jpg", "Обложка")</f>
        <v>Обложка</v>
      </c>
      <c r="V866" s="28" t="str">
        <f>HYPERLINK("https://znanium.ru/catalog/product/2091883", "Ознакомиться")</f>
        <v>Ознакомиться</v>
      </c>
      <c r="W866" s="8" t="s">
        <v>912</v>
      </c>
      <c r="X866" s="6"/>
      <c r="Y866" s="6"/>
      <c r="Z866" s="6"/>
      <c r="AA866" s="6" t="s">
        <v>364</v>
      </c>
    </row>
    <row r="867" spans="1:27" s="4" customFormat="1" ht="51.95" customHeight="1">
      <c r="A867" s="5">
        <v>0</v>
      </c>
      <c r="B867" s="6" t="s">
        <v>5396</v>
      </c>
      <c r="C867" s="7">
        <v>1240</v>
      </c>
      <c r="D867" s="8" t="s">
        <v>5397</v>
      </c>
      <c r="E867" s="8" t="s">
        <v>5398</v>
      </c>
      <c r="F867" s="8" t="s">
        <v>5399</v>
      </c>
      <c r="G867" s="6" t="s">
        <v>37</v>
      </c>
      <c r="H867" s="6" t="s">
        <v>470</v>
      </c>
      <c r="I867" s="8" t="s">
        <v>1040</v>
      </c>
      <c r="J867" s="9">
        <v>1</v>
      </c>
      <c r="K867" s="9">
        <v>262</v>
      </c>
      <c r="L867" s="9">
        <v>2024</v>
      </c>
      <c r="M867" s="8" t="s">
        <v>5400</v>
      </c>
      <c r="N867" s="8" t="s">
        <v>74</v>
      </c>
      <c r="O867" s="8" t="s">
        <v>1559</v>
      </c>
      <c r="P867" s="6" t="s">
        <v>43</v>
      </c>
      <c r="Q867" s="8" t="s">
        <v>44</v>
      </c>
      <c r="R867" s="10" t="s">
        <v>5401</v>
      </c>
      <c r="S867" s="11"/>
      <c r="T867" s="6"/>
      <c r="U867" s="28" t="str">
        <f>HYPERLINK("https://media.infra-m.ru/2057/2057694/cover/2057694.jpg", "Обложка")</f>
        <v>Обложка</v>
      </c>
      <c r="V867" s="28" t="str">
        <f>HYPERLINK("https://znanium.ru/catalog/product/2057694", "Ознакомиться")</f>
        <v>Ознакомиться</v>
      </c>
      <c r="W867" s="8" t="s">
        <v>149</v>
      </c>
      <c r="X867" s="6"/>
      <c r="Y867" s="6"/>
      <c r="Z867" s="6"/>
      <c r="AA867" s="6" t="s">
        <v>381</v>
      </c>
    </row>
    <row r="868" spans="1:27" s="4" customFormat="1" ht="44.1" customHeight="1">
      <c r="A868" s="5">
        <v>0</v>
      </c>
      <c r="B868" s="6" t="s">
        <v>5402</v>
      </c>
      <c r="C868" s="13">
        <v>920</v>
      </c>
      <c r="D868" s="8" t="s">
        <v>5403</v>
      </c>
      <c r="E868" s="8" t="s">
        <v>5404</v>
      </c>
      <c r="F868" s="8" t="s">
        <v>2278</v>
      </c>
      <c r="G868" s="6" t="s">
        <v>123</v>
      </c>
      <c r="H868" s="6" t="s">
        <v>38</v>
      </c>
      <c r="I868" s="8" t="s">
        <v>155</v>
      </c>
      <c r="J868" s="9">
        <v>1</v>
      </c>
      <c r="K868" s="9">
        <v>188</v>
      </c>
      <c r="L868" s="9">
        <v>2024</v>
      </c>
      <c r="M868" s="8" t="s">
        <v>5405</v>
      </c>
      <c r="N868" s="8" t="s">
        <v>74</v>
      </c>
      <c r="O868" s="8" t="s">
        <v>1559</v>
      </c>
      <c r="P868" s="6" t="s">
        <v>55</v>
      </c>
      <c r="Q868" s="8" t="s">
        <v>56</v>
      </c>
      <c r="R868" s="10" t="s">
        <v>5406</v>
      </c>
      <c r="S868" s="11"/>
      <c r="T868" s="6"/>
      <c r="U868" s="28" t="str">
        <f>HYPERLINK("https://media.infra-m.ru/1214/1214579/cover/1214579.jpg", "Обложка")</f>
        <v>Обложка</v>
      </c>
      <c r="V868" s="28" t="str">
        <f>HYPERLINK("https://znanium.ru/catalog/product/1214579", "Ознакомиться")</f>
        <v>Ознакомиться</v>
      </c>
      <c r="W868" s="8" t="s">
        <v>2280</v>
      </c>
      <c r="X868" s="6" t="s">
        <v>179</v>
      </c>
      <c r="Y868" s="6"/>
      <c r="Z868" s="6"/>
      <c r="AA868" s="6" t="s">
        <v>180</v>
      </c>
    </row>
    <row r="869" spans="1:27" s="4" customFormat="1" ht="44.1" customHeight="1">
      <c r="A869" s="5">
        <v>0</v>
      </c>
      <c r="B869" s="6" t="s">
        <v>5407</v>
      </c>
      <c r="C869" s="13">
        <v>850</v>
      </c>
      <c r="D869" s="8" t="s">
        <v>5408</v>
      </c>
      <c r="E869" s="8" t="s">
        <v>5409</v>
      </c>
      <c r="F869" s="8" t="s">
        <v>5410</v>
      </c>
      <c r="G869" s="6" t="s">
        <v>37</v>
      </c>
      <c r="H869" s="6" t="s">
        <v>38</v>
      </c>
      <c r="I869" s="8" t="s">
        <v>39</v>
      </c>
      <c r="J869" s="9">
        <v>1</v>
      </c>
      <c r="K869" s="9">
        <v>181</v>
      </c>
      <c r="L869" s="9">
        <v>2024</v>
      </c>
      <c r="M869" s="8" t="s">
        <v>5411</v>
      </c>
      <c r="N869" s="8" t="s">
        <v>74</v>
      </c>
      <c r="O869" s="8" t="s">
        <v>109</v>
      </c>
      <c r="P869" s="6" t="s">
        <v>43</v>
      </c>
      <c r="Q869" s="8" t="s">
        <v>44</v>
      </c>
      <c r="R869" s="10" t="s">
        <v>5412</v>
      </c>
      <c r="S869" s="11"/>
      <c r="T869" s="6"/>
      <c r="U869" s="28" t="str">
        <f>HYPERLINK("https://media.infra-m.ru/2136/2136024/cover/2136024.jpg", "Обложка")</f>
        <v>Обложка</v>
      </c>
      <c r="V869" s="28" t="str">
        <f>HYPERLINK("https://znanium.ru/catalog/product/2136024", "Ознакомиться")</f>
        <v>Ознакомиться</v>
      </c>
      <c r="W869" s="8" t="s">
        <v>2447</v>
      </c>
      <c r="X869" s="6"/>
      <c r="Y869" s="6"/>
      <c r="Z869" s="6"/>
      <c r="AA869" s="6" t="s">
        <v>78</v>
      </c>
    </row>
    <row r="870" spans="1:27" s="4" customFormat="1" ht="51.95" customHeight="1">
      <c r="A870" s="5">
        <v>0</v>
      </c>
      <c r="B870" s="6" t="s">
        <v>5413</v>
      </c>
      <c r="C870" s="13">
        <v>680</v>
      </c>
      <c r="D870" s="8" t="s">
        <v>5414</v>
      </c>
      <c r="E870" s="8" t="s">
        <v>5415</v>
      </c>
      <c r="F870" s="8" t="s">
        <v>507</v>
      </c>
      <c r="G870" s="6" t="s">
        <v>83</v>
      </c>
      <c r="H870" s="6" t="s">
        <v>38</v>
      </c>
      <c r="I870" s="8" t="s">
        <v>164</v>
      </c>
      <c r="J870" s="9">
        <v>1</v>
      </c>
      <c r="K870" s="9">
        <v>144</v>
      </c>
      <c r="L870" s="9">
        <v>2023</v>
      </c>
      <c r="M870" s="8" t="s">
        <v>5416</v>
      </c>
      <c r="N870" s="8" t="s">
        <v>74</v>
      </c>
      <c r="O870" s="8" t="s">
        <v>75</v>
      </c>
      <c r="P870" s="6" t="s">
        <v>55</v>
      </c>
      <c r="Q870" s="8" t="s">
        <v>56</v>
      </c>
      <c r="R870" s="10" t="s">
        <v>5417</v>
      </c>
      <c r="S870" s="11" t="s">
        <v>5418</v>
      </c>
      <c r="T870" s="6"/>
      <c r="U870" s="28" t="str">
        <f>HYPERLINK("https://media.infra-m.ru/2000/2000023/cover/2000023.jpg", "Обложка")</f>
        <v>Обложка</v>
      </c>
      <c r="V870" s="28" t="str">
        <f>HYPERLINK("https://znanium.ru/catalog/product/2000023", "Ознакомиться")</f>
        <v>Ознакомиться</v>
      </c>
      <c r="W870" s="8" t="s">
        <v>511</v>
      </c>
      <c r="X870" s="6"/>
      <c r="Y870" s="6"/>
      <c r="Z870" s="6"/>
      <c r="AA870" s="6" t="s">
        <v>78</v>
      </c>
    </row>
    <row r="871" spans="1:27" s="4" customFormat="1" ht="51.95" customHeight="1">
      <c r="A871" s="5">
        <v>0</v>
      </c>
      <c r="B871" s="6" t="s">
        <v>5419</v>
      </c>
      <c r="C871" s="13">
        <v>650</v>
      </c>
      <c r="D871" s="8" t="s">
        <v>5420</v>
      </c>
      <c r="E871" s="8" t="s">
        <v>5421</v>
      </c>
      <c r="F871" s="8" t="s">
        <v>5422</v>
      </c>
      <c r="G871" s="6" t="s">
        <v>123</v>
      </c>
      <c r="H871" s="6" t="s">
        <v>38</v>
      </c>
      <c r="I871" s="8" t="s">
        <v>884</v>
      </c>
      <c r="J871" s="9">
        <v>1</v>
      </c>
      <c r="K871" s="9">
        <v>153</v>
      </c>
      <c r="L871" s="9">
        <v>2022</v>
      </c>
      <c r="M871" s="8" t="s">
        <v>5423</v>
      </c>
      <c r="N871" s="8" t="s">
        <v>74</v>
      </c>
      <c r="O871" s="8" t="s">
        <v>75</v>
      </c>
      <c r="P871" s="6" t="s">
        <v>55</v>
      </c>
      <c r="Q871" s="8" t="s">
        <v>594</v>
      </c>
      <c r="R871" s="10" t="s">
        <v>5424</v>
      </c>
      <c r="S871" s="11" t="s">
        <v>5425</v>
      </c>
      <c r="T871" s="6"/>
      <c r="U871" s="28" t="str">
        <f>HYPERLINK("https://media.infra-m.ru/1077/1077513/cover/1077513.jpg", "Обложка")</f>
        <v>Обложка</v>
      </c>
      <c r="V871" s="28" t="str">
        <f>HYPERLINK("https://znanium.ru/catalog/product/1077513", "Ознакомиться")</f>
        <v>Ознакомиться</v>
      </c>
      <c r="W871" s="8" t="s">
        <v>2726</v>
      </c>
      <c r="X871" s="6"/>
      <c r="Y871" s="6"/>
      <c r="Z871" s="6"/>
      <c r="AA871" s="6" t="s">
        <v>103</v>
      </c>
    </row>
    <row r="872" spans="1:27" s="4" customFormat="1" ht="44.1" customHeight="1">
      <c r="A872" s="5">
        <v>0</v>
      </c>
      <c r="B872" s="6" t="s">
        <v>5426</v>
      </c>
      <c r="C872" s="7">
        <v>1470</v>
      </c>
      <c r="D872" s="8" t="s">
        <v>5427</v>
      </c>
      <c r="E872" s="8" t="s">
        <v>5428</v>
      </c>
      <c r="F872" s="8" t="s">
        <v>5429</v>
      </c>
      <c r="G872" s="6" t="s">
        <v>123</v>
      </c>
      <c r="H872" s="6" t="s">
        <v>38</v>
      </c>
      <c r="I872" s="8" t="s">
        <v>39</v>
      </c>
      <c r="J872" s="9">
        <v>1</v>
      </c>
      <c r="K872" s="9">
        <v>317</v>
      </c>
      <c r="L872" s="9">
        <v>2024</v>
      </c>
      <c r="M872" s="8" t="s">
        <v>5430</v>
      </c>
      <c r="N872" s="8" t="s">
        <v>41</v>
      </c>
      <c r="O872" s="8" t="s">
        <v>42</v>
      </c>
      <c r="P872" s="6" t="s">
        <v>43</v>
      </c>
      <c r="Q872" s="8" t="s">
        <v>44</v>
      </c>
      <c r="R872" s="10" t="s">
        <v>5431</v>
      </c>
      <c r="S872" s="11"/>
      <c r="T872" s="6"/>
      <c r="U872" s="28" t="str">
        <f>HYPERLINK("https://media.infra-m.ru/1946/1946225/cover/1946225.jpg", "Обложка")</f>
        <v>Обложка</v>
      </c>
      <c r="V872" s="28" t="str">
        <f>HYPERLINK("https://znanium.ru/catalog/product/1946225", "Ознакомиться")</f>
        <v>Ознакомиться</v>
      </c>
      <c r="W872" s="8" t="s">
        <v>1764</v>
      </c>
      <c r="X872" s="6" t="s">
        <v>641</v>
      </c>
      <c r="Y872" s="6"/>
      <c r="Z872" s="6"/>
      <c r="AA872" s="6" t="s">
        <v>180</v>
      </c>
    </row>
    <row r="873" spans="1:27" s="4" customFormat="1" ht="51.95" customHeight="1">
      <c r="A873" s="5">
        <v>0</v>
      </c>
      <c r="B873" s="6" t="s">
        <v>5432</v>
      </c>
      <c r="C873" s="7">
        <v>2304.9</v>
      </c>
      <c r="D873" s="8" t="s">
        <v>5433</v>
      </c>
      <c r="E873" s="8" t="s">
        <v>5434</v>
      </c>
      <c r="F873" s="8" t="s">
        <v>5435</v>
      </c>
      <c r="G873" s="6" t="s">
        <v>123</v>
      </c>
      <c r="H873" s="6" t="s">
        <v>470</v>
      </c>
      <c r="I873" s="8"/>
      <c r="J873" s="9">
        <v>1</v>
      </c>
      <c r="K873" s="9">
        <v>512</v>
      </c>
      <c r="L873" s="9">
        <v>2023</v>
      </c>
      <c r="M873" s="8" t="s">
        <v>5436</v>
      </c>
      <c r="N873" s="8" t="s">
        <v>41</v>
      </c>
      <c r="O873" s="8" t="s">
        <v>42</v>
      </c>
      <c r="P873" s="6" t="s">
        <v>55</v>
      </c>
      <c r="Q873" s="8" t="s">
        <v>56</v>
      </c>
      <c r="R873" s="10" t="s">
        <v>178</v>
      </c>
      <c r="S873" s="11" t="s">
        <v>5437</v>
      </c>
      <c r="T873" s="6"/>
      <c r="U873" s="28" t="str">
        <f>HYPERLINK("https://media.infra-m.ru/1905/1905749/cover/1905749.jpg", "Обложка")</f>
        <v>Обложка</v>
      </c>
      <c r="V873" s="28" t="str">
        <f>HYPERLINK("https://znanium.ru/catalog/product/1905749", "Ознакомиться")</f>
        <v>Ознакомиться</v>
      </c>
      <c r="W873" s="8" t="s">
        <v>140</v>
      </c>
      <c r="X873" s="6"/>
      <c r="Y873" s="6"/>
      <c r="Z873" s="6"/>
      <c r="AA873" s="6" t="s">
        <v>5438</v>
      </c>
    </row>
    <row r="874" spans="1:27" s="4" customFormat="1" ht="51.95" customHeight="1">
      <c r="A874" s="5">
        <v>0</v>
      </c>
      <c r="B874" s="6" t="s">
        <v>5439</v>
      </c>
      <c r="C874" s="7">
        <v>1290</v>
      </c>
      <c r="D874" s="8" t="s">
        <v>5440</v>
      </c>
      <c r="E874" s="8" t="s">
        <v>5441</v>
      </c>
      <c r="F874" s="8" t="s">
        <v>5442</v>
      </c>
      <c r="G874" s="6" t="s">
        <v>83</v>
      </c>
      <c r="H874" s="6" t="s">
        <v>38</v>
      </c>
      <c r="I874" s="8" t="s">
        <v>155</v>
      </c>
      <c r="J874" s="9">
        <v>1</v>
      </c>
      <c r="K874" s="9">
        <v>286</v>
      </c>
      <c r="L874" s="9">
        <v>2023</v>
      </c>
      <c r="M874" s="8" t="s">
        <v>5443</v>
      </c>
      <c r="N874" s="8" t="s">
        <v>74</v>
      </c>
      <c r="O874" s="8" t="s">
        <v>75</v>
      </c>
      <c r="P874" s="6" t="s">
        <v>176</v>
      </c>
      <c r="Q874" s="8" t="s">
        <v>177</v>
      </c>
      <c r="R874" s="10" t="s">
        <v>5444</v>
      </c>
      <c r="S874" s="11" t="s">
        <v>5445</v>
      </c>
      <c r="T874" s="6"/>
      <c r="U874" s="28" t="str">
        <f>HYPERLINK("https://media.infra-m.ru/2012/2012502/cover/2012502.jpg", "Обложка")</f>
        <v>Обложка</v>
      </c>
      <c r="V874" s="28" t="str">
        <f>HYPERLINK("https://znanium.ru/catalog/product/1914129", "Ознакомиться")</f>
        <v>Ознакомиться</v>
      </c>
      <c r="W874" s="8" t="s">
        <v>3098</v>
      </c>
      <c r="X874" s="6"/>
      <c r="Y874" s="6"/>
      <c r="Z874" s="6"/>
      <c r="AA874" s="6" t="s">
        <v>3513</v>
      </c>
    </row>
    <row r="875" spans="1:27" s="4" customFormat="1" ht="51.95" customHeight="1">
      <c r="A875" s="5">
        <v>0</v>
      </c>
      <c r="B875" s="6" t="s">
        <v>5446</v>
      </c>
      <c r="C875" s="7">
        <v>1330</v>
      </c>
      <c r="D875" s="8" t="s">
        <v>5447</v>
      </c>
      <c r="E875" s="8" t="s">
        <v>5441</v>
      </c>
      <c r="F875" s="8" t="s">
        <v>5442</v>
      </c>
      <c r="G875" s="6" t="s">
        <v>83</v>
      </c>
      <c r="H875" s="6" t="s">
        <v>38</v>
      </c>
      <c r="I875" s="8" t="s">
        <v>205</v>
      </c>
      <c r="J875" s="9">
        <v>1</v>
      </c>
      <c r="K875" s="9">
        <v>286</v>
      </c>
      <c r="L875" s="9">
        <v>2024</v>
      </c>
      <c r="M875" s="8" t="s">
        <v>5448</v>
      </c>
      <c r="N875" s="8" t="s">
        <v>74</v>
      </c>
      <c r="O875" s="8" t="s">
        <v>75</v>
      </c>
      <c r="P875" s="6" t="s">
        <v>176</v>
      </c>
      <c r="Q875" s="8" t="s">
        <v>207</v>
      </c>
      <c r="R875" s="10" t="s">
        <v>5449</v>
      </c>
      <c r="S875" s="11" t="s">
        <v>5450</v>
      </c>
      <c r="T875" s="6"/>
      <c r="U875" s="28" t="str">
        <f>HYPERLINK("https://media.infra-m.ru/2129/2129206/cover/2129206.jpg", "Обложка")</f>
        <v>Обложка</v>
      </c>
      <c r="V875" s="28" t="str">
        <f>HYPERLINK("https://znanium.ru/catalog/product/2129206", "Ознакомиться")</f>
        <v>Ознакомиться</v>
      </c>
      <c r="W875" s="8" t="s">
        <v>3098</v>
      </c>
      <c r="X875" s="6"/>
      <c r="Y875" s="6"/>
      <c r="Z875" s="6" t="s">
        <v>782</v>
      </c>
      <c r="AA875" s="6" t="s">
        <v>5451</v>
      </c>
    </row>
    <row r="876" spans="1:27" s="4" customFormat="1" ht="51.95" customHeight="1">
      <c r="A876" s="5">
        <v>0</v>
      </c>
      <c r="B876" s="6" t="s">
        <v>5452</v>
      </c>
      <c r="C876" s="13">
        <v>850</v>
      </c>
      <c r="D876" s="8" t="s">
        <v>5453</v>
      </c>
      <c r="E876" s="8" t="s">
        <v>5454</v>
      </c>
      <c r="F876" s="8" t="s">
        <v>5455</v>
      </c>
      <c r="G876" s="6" t="s">
        <v>83</v>
      </c>
      <c r="H876" s="6" t="s">
        <v>38</v>
      </c>
      <c r="I876" s="8" t="s">
        <v>884</v>
      </c>
      <c r="J876" s="9">
        <v>1</v>
      </c>
      <c r="K876" s="9">
        <v>127</v>
      </c>
      <c r="L876" s="9">
        <v>2022</v>
      </c>
      <c r="M876" s="8" t="s">
        <v>5456</v>
      </c>
      <c r="N876" s="8" t="s">
        <v>74</v>
      </c>
      <c r="O876" s="8" t="s">
        <v>75</v>
      </c>
      <c r="P876" s="6" t="s">
        <v>55</v>
      </c>
      <c r="Q876" s="8" t="s">
        <v>594</v>
      </c>
      <c r="R876" s="10" t="s">
        <v>5457</v>
      </c>
      <c r="S876" s="11" t="s">
        <v>5458</v>
      </c>
      <c r="T876" s="6"/>
      <c r="U876" s="28" t="str">
        <f>HYPERLINK("https://media.infra-m.ru/1856/1856726/cover/1856726.jpg", "Обложка")</f>
        <v>Обложка</v>
      </c>
      <c r="V876" s="28" t="str">
        <f>HYPERLINK("https://znanium.ru/catalog/product/1856726", "Ознакомиться")</f>
        <v>Ознакомиться</v>
      </c>
      <c r="W876" s="8" t="s">
        <v>2726</v>
      </c>
      <c r="X876" s="6"/>
      <c r="Y876" s="6"/>
      <c r="Z876" s="6"/>
      <c r="AA876" s="6" t="s">
        <v>78</v>
      </c>
    </row>
    <row r="877" spans="1:27" s="4" customFormat="1" ht="42" customHeight="1">
      <c r="A877" s="5">
        <v>0</v>
      </c>
      <c r="B877" s="6" t="s">
        <v>5459</v>
      </c>
      <c r="C877" s="13">
        <v>920</v>
      </c>
      <c r="D877" s="8" t="s">
        <v>5460</v>
      </c>
      <c r="E877" s="8" t="s">
        <v>5461</v>
      </c>
      <c r="F877" s="8" t="s">
        <v>5462</v>
      </c>
      <c r="G877" s="6" t="s">
        <v>37</v>
      </c>
      <c r="H877" s="6" t="s">
        <v>38</v>
      </c>
      <c r="I877" s="8" t="s">
        <v>39</v>
      </c>
      <c r="J877" s="9">
        <v>1</v>
      </c>
      <c r="K877" s="9">
        <v>254</v>
      </c>
      <c r="L877" s="9">
        <v>2020</v>
      </c>
      <c r="M877" s="8" t="s">
        <v>5463</v>
      </c>
      <c r="N877" s="8" t="s">
        <v>41</v>
      </c>
      <c r="O877" s="8" t="s">
        <v>65</v>
      </c>
      <c r="P877" s="6" t="s">
        <v>43</v>
      </c>
      <c r="Q877" s="8" t="s">
        <v>44</v>
      </c>
      <c r="R877" s="10" t="s">
        <v>5464</v>
      </c>
      <c r="S877" s="11"/>
      <c r="T877" s="6"/>
      <c r="U877" s="28" t="str">
        <f>HYPERLINK("https://media.infra-m.ru/1078/1078930/cover/1078930.jpg", "Обложка")</f>
        <v>Обложка</v>
      </c>
      <c r="V877" s="28" t="str">
        <f>HYPERLINK("https://znanium.ru/catalog/product/1078930", "Ознакомиться")</f>
        <v>Ознакомиться</v>
      </c>
      <c r="W877" s="8" t="s">
        <v>140</v>
      </c>
      <c r="X877" s="6"/>
      <c r="Y877" s="6"/>
      <c r="Z877" s="6"/>
      <c r="AA877" s="6" t="s">
        <v>141</v>
      </c>
    </row>
    <row r="878" spans="1:27" s="4" customFormat="1" ht="51.95" customHeight="1">
      <c r="A878" s="5">
        <v>0</v>
      </c>
      <c r="B878" s="6" t="s">
        <v>5465</v>
      </c>
      <c r="C878" s="13">
        <v>650</v>
      </c>
      <c r="D878" s="8" t="s">
        <v>5466</v>
      </c>
      <c r="E878" s="8" t="s">
        <v>5467</v>
      </c>
      <c r="F878" s="8" t="s">
        <v>5468</v>
      </c>
      <c r="G878" s="6" t="s">
        <v>37</v>
      </c>
      <c r="H878" s="6" t="s">
        <v>630</v>
      </c>
      <c r="I878" s="8" t="s">
        <v>155</v>
      </c>
      <c r="J878" s="9">
        <v>1</v>
      </c>
      <c r="K878" s="9">
        <v>112</v>
      </c>
      <c r="L878" s="9">
        <v>2023</v>
      </c>
      <c r="M878" s="8" t="s">
        <v>5469</v>
      </c>
      <c r="N878" s="8" t="s">
        <v>74</v>
      </c>
      <c r="O878" s="8" t="s">
        <v>394</v>
      </c>
      <c r="P878" s="6" t="s">
        <v>55</v>
      </c>
      <c r="Q878" s="8" t="s">
        <v>177</v>
      </c>
      <c r="R878" s="10" t="s">
        <v>5470</v>
      </c>
      <c r="S878" s="11" t="s">
        <v>5471</v>
      </c>
      <c r="T878" s="6"/>
      <c r="U878" s="28" t="str">
        <f>HYPERLINK("https://media.infra-m.ru/1995/1995390/cover/1995390.jpg", "Обложка")</f>
        <v>Обложка</v>
      </c>
      <c r="V878" s="28" t="str">
        <f>HYPERLINK("https://znanium.ru/catalog/product/1995390", "Ознакомиться")</f>
        <v>Ознакомиться</v>
      </c>
      <c r="W878" s="8" t="s">
        <v>634</v>
      </c>
      <c r="X878" s="6"/>
      <c r="Y878" s="6"/>
      <c r="Z878" s="6"/>
      <c r="AA878" s="6" t="s">
        <v>47</v>
      </c>
    </row>
    <row r="879" spans="1:27" s="4" customFormat="1" ht="51.95" customHeight="1">
      <c r="A879" s="5">
        <v>0</v>
      </c>
      <c r="B879" s="6" t="s">
        <v>5472</v>
      </c>
      <c r="C879" s="7">
        <v>1552</v>
      </c>
      <c r="D879" s="8" t="s">
        <v>5473</v>
      </c>
      <c r="E879" s="8" t="s">
        <v>5474</v>
      </c>
      <c r="F879" s="8" t="s">
        <v>5475</v>
      </c>
      <c r="G879" s="6" t="s">
        <v>83</v>
      </c>
      <c r="H879" s="6" t="s">
        <v>38</v>
      </c>
      <c r="I879" s="8" t="s">
        <v>205</v>
      </c>
      <c r="J879" s="9">
        <v>1</v>
      </c>
      <c r="K879" s="9">
        <v>256</v>
      </c>
      <c r="L879" s="9">
        <v>2023</v>
      </c>
      <c r="M879" s="8" t="s">
        <v>5476</v>
      </c>
      <c r="N879" s="8" t="s">
        <v>74</v>
      </c>
      <c r="O879" s="8" t="s">
        <v>394</v>
      </c>
      <c r="P879" s="6" t="s">
        <v>55</v>
      </c>
      <c r="Q879" s="8" t="s">
        <v>207</v>
      </c>
      <c r="R879" s="10" t="s">
        <v>5477</v>
      </c>
      <c r="S879" s="11" t="s">
        <v>5478</v>
      </c>
      <c r="T879" s="6"/>
      <c r="U879" s="28" t="str">
        <f>HYPERLINK("https://media.infra-m.ru/2002/2002567/cover/2002567.jpg", "Обложка")</f>
        <v>Обложка</v>
      </c>
      <c r="V879" s="28" t="str">
        <f>HYPERLINK("https://znanium.ru/catalog/product/2002567", "Ознакомиться")</f>
        <v>Ознакомиться</v>
      </c>
      <c r="W879" s="8" t="s">
        <v>273</v>
      </c>
      <c r="X879" s="6"/>
      <c r="Y879" s="6"/>
      <c r="Z879" s="6"/>
      <c r="AA879" s="6" t="s">
        <v>4400</v>
      </c>
    </row>
    <row r="880" spans="1:27" s="4" customFormat="1" ht="51.95" customHeight="1">
      <c r="A880" s="5">
        <v>0</v>
      </c>
      <c r="B880" s="6" t="s">
        <v>5479</v>
      </c>
      <c r="C880" s="7">
        <v>2220</v>
      </c>
      <c r="D880" s="8" t="s">
        <v>5480</v>
      </c>
      <c r="E880" s="8" t="s">
        <v>5481</v>
      </c>
      <c r="F880" s="8" t="s">
        <v>3023</v>
      </c>
      <c r="G880" s="6" t="s">
        <v>123</v>
      </c>
      <c r="H880" s="6" t="s">
        <v>38</v>
      </c>
      <c r="I880" s="8" t="s">
        <v>155</v>
      </c>
      <c r="J880" s="9">
        <v>1</v>
      </c>
      <c r="K880" s="9">
        <v>480</v>
      </c>
      <c r="L880" s="9">
        <v>2024</v>
      </c>
      <c r="M880" s="8" t="s">
        <v>5482</v>
      </c>
      <c r="N880" s="8" t="s">
        <v>74</v>
      </c>
      <c r="O880" s="8" t="s">
        <v>75</v>
      </c>
      <c r="P880" s="6" t="s">
        <v>176</v>
      </c>
      <c r="Q880" s="8" t="s">
        <v>56</v>
      </c>
      <c r="R880" s="10" t="s">
        <v>5483</v>
      </c>
      <c r="S880" s="11" t="s">
        <v>5484</v>
      </c>
      <c r="T880" s="6"/>
      <c r="U880" s="28" t="str">
        <f>HYPERLINK("https://media.infra-m.ru/2112/2112520/cover/2112520.jpg", "Обложка")</f>
        <v>Обложка</v>
      </c>
      <c r="V880" s="28" t="str">
        <f>HYPERLINK("https://znanium.ru/catalog/product/2112520", "Ознакомиться")</f>
        <v>Ознакомиться</v>
      </c>
      <c r="W880" s="8" t="s">
        <v>3027</v>
      </c>
      <c r="X880" s="6"/>
      <c r="Y880" s="6"/>
      <c r="Z880" s="6"/>
      <c r="AA880" s="6" t="s">
        <v>78</v>
      </c>
    </row>
    <row r="881" spans="1:27" s="4" customFormat="1" ht="51.95" customHeight="1">
      <c r="A881" s="5">
        <v>0</v>
      </c>
      <c r="B881" s="6" t="s">
        <v>5485</v>
      </c>
      <c r="C881" s="7">
        <v>1180</v>
      </c>
      <c r="D881" s="8" t="s">
        <v>5486</v>
      </c>
      <c r="E881" s="8" t="s">
        <v>5487</v>
      </c>
      <c r="F881" s="8" t="s">
        <v>5488</v>
      </c>
      <c r="G881" s="6" t="s">
        <v>37</v>
      </c>
      <c r="H881" s="6" t="s">
        <v>38</v>
      </c>
      <c r="I881" s="8" t="s">
        <v>39</v>
      </c>
      <c r="J881" s="9">
        <v>1</v>
      </c>
      <c r="K881" s="9">
        <v>311</v>
      </c>
      <c r="L881" s="9">
        <v>2022</v>
      </c>
      <c r="M881" s="8" t="s">
        <v>5489</v>
      </c>
      <c r="N881" s="8" t="s">
        <v>41</v>
      </c>
      <c r="O881" s="8" t="s">
        <v>42</v>
      </c>
      <c r="P881" s="6" t="s">
        <v>43</v>
      </c>
      <c r="Q881" s="8" t="s">
        <v>44</v>
      </c>
      <c r="R881" s="10" t="s">
        <v>5490</v>
      </c>
      <c r="S881" s="11"/>
      <c r="T881" s="6"/>
      <c r="U881" s="28" t="str">
        <f>HYPERLINK("https://media.infra-m.ru/1681/1681993/cover/1681993.jpg", "Обложка")</f>
        <v>Обложка</v>
      </c>
      <c r="V881" s="28" t="str">
        <f>HYPERLINK("https://znanium.ru/catalog/product/1681993", "Ознакомиться")</f>
        <v>Ознакомиться</v>
      </c>
      <c r="W881" s="8" t="s">
        <v>4470</v>
      </c>
      <c r="X881" s="6"/>
      <c r="Y881" s="6"/>
      <c r="Z881" s="6"/>
      <c r="AA881" s="6" t="s">
        <v>141</v>
      </c>
    </row>
    <row r="882" spans="1:27" s="4" customFormat="1" ht="51.95" customHeight="1">
      <c r="A882" s="5">
        <v>0</v>
      </c>
      <c r="B882" s="6" t="s">
        <v>5491</v>
      </c>
      <c r="C882" s="7">
        <v>1604.9</v>
      </c>
      <c r="D882" s="8" t="s">
        <v>5492</v>
      </c>
      <c r="E882" s="8" t="s">
        <v>5493</v>
      </c>
      <c r="F882" s="8" t="s">
        <v>1761</v>
      </c>
      <c r="G882" s="6" t="s">
        <v>123</v>
      </c>
      <c r="H882" s="6" t="s">
        <v>38</v>
      </c>
      <c r="I882" s="8" t="s">
        <v>39</v>
      </c>
      <c r="J882" s="9">
        <v>1</v>
      </c>
      <c r="K882" s="9">
        <v>356</v>
      </c>
      <c r="L882" s="9">
        <v>2023</v>
      </c>
      <c r="M882" s="8" t="s">
        <v>5494</v>
      </c>
      <c r="N882" s="8" t="s">
        <v>41</v>
      </c>
      <c r="O882" s="8" t="s">
        <v>42</v>
      </c>
      <c r="P882" s="6" t="s">
        <v>43</v>
      </c>
      <c r="Q882" s="8" t="s">
        <v>44</v>
      </c>
      <c r="R882" s="10" t="s">
        <v>5495</v>
      </c>
      <c r="S882" s="11"/>
      <c r="T882" s="6"/>
      <c r="U882" s="28" t="str">
        <f>HYPERLINK("https://media.infra-m.ru/2030/2030878/cover/2030878.jpg", "Обложка")</f>
        <v>Обложка</v>
      </c>
      <c r="V882" s="28" t="str">
        <f>HYPERLINK("https://znanium.ru/catalog/product/999880", "Ознакомиться")</f>
        <v>Ознакомиться</v>
      </c>
      <c r="W882" s="8" t="s">
        <v>1764</v>
      </c>
      <c r="X882" s="6"/>
      <c r="Y882" s="6"/>
      <c r="Z882" s="6"/>
      <c r="AA882" s="6" t="s">
        <v>150</v>
      </c>
    </row>
    <row r="883" spans="1:27" s="4" customFormat="1" ht="51.95" customHeight="1">
      <c r="A883" s="5">
        <v>0</v>
      </c>
      <c r="B883" s="6" t="s">
        <v>5496</v>
      </c>
      <c r="C883" s="13">
        <v>600</v>
      </c>
      <c r="D883" s="8" t="s">
        <v>5497</v>
      </c>
      <c r="E883" s="8" t="s">
        <v>5498</v>
      </c>
      <c r="F883" s="8" t="s">
        <v>5499</v>
      </c>
      <c r="G883" s="6" t="s">
        <v>37</v>
      </c>
      <c r="H883" s="6" t="s">
        <v>52</v>
      </c>
      <c r="I883" s="8" t="s">
        <v>39</v>
      </c>
      <c r="J883" s="9">
        <v>1</v>
      </c>
      <c r="K883" s="9">
        <v>112</v>
      </c>
      <c r="L883" s="9">
        <v>2024</v>
      </c>
      <c r="M883" s="8" t="s">
        <v>5500</v>
      </c>
      <c r="N883" s="8" t="s">
        <v>74</v>
      </c>
      <c r="O883" s="8" t="s">
        <v>109</v>
      </c>
      <c r="P883" s="6" t="s">
        <v>43</v>
      </c>
      <c r="Q883" s="8" t="s">
        <v>44</v>
      </c>
      <c r="R883" s="10" t="s">
        <v>5501</v>
      </c>
      <c r="S883" s="11"/>
      <c r="T883" s="6"/>
      <c r="U883" s="28" t="str">
        <f>HYPERLINK("https://media.infra-m.ru/2079/2079245/cover/2079245.jpg", "Обложка")</f>
        <v>Обложка</v>
      </c>
      <c r="V883" s="28" t="str">
        <f>HYPERLINK("https://znanium.ru/catalog/product/2079245", "Ознакомиться")</f>
        <v>Ознакомиться</v>
      </c>
      <c r="W883" s="8" t="s">
        <v>1679</v>
      </c>
      <c r="X883" s="6"/>
      <c r="Y883" s="6"/>
      <c r="Z883" s="6"/>
      <c r="AA883" s="6" t="s">
        <v>1772</v>
      </c>
    </row>
    <row r="884" spans="1:27" s="4" customFormat="1" ht="42" customHeight="1">
      <c r="A884" s="5">
        <v>0</v>
      </c>
      <c r="B884" s="6" t="s">
        <v>5502</v>
      </c>
      <c r="C884" s="13">
        <v>590</v>
      </c>
      <c r="D884" s="8" t="s">
        <v>5503</v>
      </c>
      <c r="E884" s="8" t="s">
        <v>5504</v>
      </c>
      <c r="F884" s="8" t="s">
        <v>5505</v>
      </c>
      <c r="G884" s="6" t="s">
        <v>37</v>
      </c>
      <c r="H884" s="6" t="s">
        <v>38</v>
      </c>
      <c r="I884" s="8" t="s">
        <v>1684</v>
      </c>
      <c r="J884" s="9">
        <v>1</v>
      </c>
      <c r="K884" s="9">
        <v>127</v>
      </c>
      <c r="L884" s="9">
        <v>2024</v>
      </c>
      <c r="M884" s="8" t="s">
        <v>5506</v>
      </c>
      <c r="N884" s="8" t="s">
        <v>74</v>
      </c>
      <c r="O884" s="8" t="s">
        <v>75</v>
      </c>
      <c r="P884" s="6" t="s">
        <v>43</v>
      </c>
      <c r="Q884" s="8" t="s">
        <v>44</v>
      </c>
      <c r="R884" s="10" t="s">
        <v>5507</v>
      </c>
      <c r="S884" s="11"/>
      <c r="T884" s="6"/>
      <c r="U884" s="28" t="str">
        <f>HYPERLINK("https://media.infra-m.ru/2080/2080951/cover/2080951.jpg", "Обложка")</f>
        <v>Обложка</v>
      </c>
      <c r="V884" s="28" t="str">
        <f>HYPERLINK("https://znanium.ru/catalog/product/2080951", "Ознакомиться")</f>
        <v>Ознакомиться</v>
      </c>
      <c r="W884" s="8" t="s">
        <v>557</v>
      </c>
      <c r="X884" s="6"/>
      <c r="Y884" s="6"/>
      <c r="Z884" s="6"/>
      <c r="AA884" s="6" t="s">
        <v>78</v>
      </c>
    </row>
    <row r="885" spans="1:27" s="4" customFormat="1" ht="51.95" customHeight="1">
      <c r="A885" s="5">
        <v>0</v>
      </c>
      <c r="B885" s="6" t="s">
        <v>5508</v>
      </c>
      <c r="C885" s="13">
        <v>900</v>
      </c>
      <c r="D885" s="8" t="s">
        <v>5509</v>
      </c>
      <c r="E885" s="8" t="s">
        <v>5510</v>
      </c>
      <c r="F885" s="8" t="s">
        <v>406</v>
      </c>
      <c r="G885" s="6" t="s">
        <v>37</v>
      </c>
      <c r="H885" s="6" t="s">
        <v>38</v>
      </c>
      <c r="I885" s="8" t="s">
        <v>39</v>
      </c>
      <c r="J885" s="9">
        <v>1</v>
      </c>
      <c r="K885" s="9">
        <v>195</v>
      </c>
      <c r="L885" s="9">
        <v>2024</v>
      </c>
      <c r="M885" s="8" t="s">
        <v>5511</v>
      </c>
      <c r="N885" s="8" t="s">
        <v>74</v>
      </c>
      <c r="O885" s="8" t="s">
        <v>75</v>
      </c>
      <c r="P885" s="6" t="s">
        <v>43</v>
      </c>
      <c r="Q885" s="8" t="s">
        <v>44</v>
      </c>
      <c r="R885" s="10" t="s">
        <v>5512</v>
      </c>
      <c r="S885" s="11"/>
      <c r="T885" s="6"/>
      <c r="U885" s="28" t="str">
        <f>HYPERLINK("https://media.infra-m.ru/2082/2082161/cover/2082161.jpg", "Обложка")</f>
        <v>Обложка</v>
      </c>
      <c r="V885" s="28" t="str">
        <f>HYPERLINK("https://znanium.ru/catalog/product/2082161", "Ознакомиться")</f>
        <v>Ознакомиться</v>
      </c>
      <c r="W885" s="8" t="s">
        <v>409</v>
      </c>
      <c r="X885" s="6"/>
      <c r="Y885" s="6"/>
      <c r="Z885" s="6"/>
      <c r="AA885" s="6" t="s">
        <v>364</v>
      </c>
    </row>
    <row r="886" spans="1:27" s="4" customFormat="1" ht="42" customHeight="1">
      <c r="A886" s="5">
        <v>0</v>
      </c>
      <c r="B886" s="6" t="s">
        <v>5513</v>
      </c>
      <c r="C886" s="13">
        <v>514</v>
      </c>
      <c r="D886" s="8" t="s">
        <v>5514</v>
      </c>
      <c r="E886" s="8" t="s">
        <v>5515</v>
      </c>
      <c r="F886" s="8" t="s">
        <v>5516</v>
      </c>
      <c r="G886" s="6" t="s">
        <v>37</v>
      </c>
      <c r="H886" s="6" t="s">
        <v>38</v>
      </c>
      <c r="I886" s="8" t="s">
        <v>39</v>
      </c>
      <c r="J886" s="9">
        <v>1</v>
      </c>
      <c r="K886" s="9">
        <v>106</v>
      </c>
      <c r="L886" s="9">
        <v>2024</v>
      </c>
      <c r="M886" s="8" t="s">
        <v>5517</v>
      </c>
      <c r="N886" s="8" t="s">
        <v>74</v>
      </c>
      <c r="O886" s="8" t="s">
        <v>75</v>
      </c>
      <c r="P886" s="6" t="s">
        <v>43</v>
      </c>
      <c r="Q886" s="8" t="s">
        <v>44</v>
      </c>
      <c r="R886" s="10" t="s">
        <v>5518</v>
      </c>
      <c r="S886" s="11"/>
      <c r="T886" s="6"/>
      <c r="U886" s="28" t="str">
        <f>HYPERLINK("https://media.infra-m.ru/2151/2151399/cover/2151399.jpg", "Обложка")</f>
        <v>Обложка</v>
      </c>
      <c r="V886" s="28" t="str">
        <f>HYPERLINK("https://znanium.ru/catalog/product/966066", "Ознакомиться")</f>
        <v>Ознакомиться</v>
      </c>
      <c r="W886" s="8" t="s">
        <v>1085</v>
      </c>
      <c r="X886" s="6"/>
      <c r="Y886" s="6"/>
      <c r="Z886" s="6"/>
      <c r="AA886" s="6" t="s">
        <v>650</v>
      </c>
    </row>
    <row r="887" spans="1:27" s="4" customFormat="1" ht="42" customHeight="1">
      <c r="A887" s="5">
        <v>0</v>
      </c>
      <c r="B887" s="6" t="s">
        <v>5519</v>
      </c>
      <c r="C887" s="7">
        <v>1099</v>
      </c>
      <c r="D887" s="8" t="s">
        <v>5520</v>
      </c>
      <c r="E887" s="8" t="s">
        <v>5521</v>
      </c>
      <c r="F887" s="8" t="s">
        <v>5522</v>
      </c>
      <c r="G887" s="6" t="s">
        <v>123</v>
      </c>
      <c r="H887" s="6" t="s">
        <v>38</v>
      </c>
      <c r="I887" s="8" t="s">
        <v>155</v>
      </c>
      <c r="J887" s="9">
        <v>1</v>
      </c>
      <c r="K887" s="9">
        <v>212</v>
      </c>
      <c r="L887" s="9">
        <v>2024</v>
      </c>
      <c r="M887" s="8" t="s">
        <v>5523</v>
      </c>
      <c r="N887" s="8" t="s">
        <v>41</v>
      </c>
      <c r="O887" s="8" t="s">
        <v>42</v>
      </c>
      <c r="P887" s="6" t="s">
        <v>55</v>
      </c>
      <c r="Q887" s="8" t="s">
        <v>56</v>
      </c>
      <c r="R887" s="10" t="s">
        <v>5524</v>
      </c>
      <c r="S887" s="11"/>
      <c r="T887" s="6"/>
      <c r="U887" s="28" t="str">
        <f>HYPERLINK("https://media.infra-m.ru/1852/1852455/cover/1852455.jpg", "Обложка")</f>
        <v>Обложка</v>
      </c>
      <c r="V887" s="28" t="str">
        <f>HYPERLINK("https://znanium.ru/catalog/product/1852455", "Ознакомиться")</f>
        <v>Ознакомиться</v>
      </c>
      <c r="W887" s="8" t="s">
        <v>3932</v>
      </c>
      <c r="X887" s="6" t="s">
        <v>179</v>
      </c>
      <c r="Y887" s="6"/>
      <c r="Z887" s="6"/>
      <c r="AA887" s="6" t="s">
        <v>180</v>
      </c>
    </row>
    <row r="888" spans="1:27" s="4" customFormat="1" ht="51.95" customHeight="1">
      <c r="A888" s="5">
        <v>0</v>
      </c>
      <c r="B888" s="6" t="s">
        <v>5525</v>
      </c>
      <c r="C888" s="7">
        <v>1180</v>
      </c>
      <c r="D888" s="8" t="s">
        <v>5526</v>
      </c>
      <c r="E888" s="8" t="s">
        <v>5527</v>
      </c>
      <c r="F888" s="8" t="s">
        <v>5528</v>
      </c>
      <c r="G888" s="6" t="s">
        <v>37</v>
      </c>
      <c r="H888" s="6" t="s">
        <v>38</v>
      </c>
      <c r="I888" s="8" t="s">
        <v>39</v>
      </c>
      <c r="J888" s="9">
        <v>1</v>
      </c>
      <c r="K888" s="9">
        <v>256</v>
      </c>
      <c r="L888" s="9">
        <v>2024</v>
      </c>
      <c r="M888" s="8" t="s">
        <v>5529</v>
      </c>
      <c r="N888" s="8" t="s">
        <v>41</v>
      </c>
      <c r="O888" s="8" t="s">
        <v>54</v>
      </c>
      <c r="P888" s="6" t="s">
        <v>43</v>
      </c>
      <c r="Q888" s="8" t="s">
        <v>44</v>
      </c>
      <c r="R888" s="10" t="s">
        <v>5530</v>
      </c>
      <c r="S888" s="11"/>
      <c r="T888" s="6"/>
      <c r="U888" s="28" t="str">
        <f>HYPERLINK("https://media.infra-m.ru/2113/2113800/cover/2113800.jpg", "Обложка")</f>
        <v>Обложка</v>
      </c>
      <c r="V888" s="28" t="str">
        <f>HYPERLINK("https://znanium.ru/catalog/product/2113800", "Ознакомиться")</f>
        <v>Ознакомиться</v>
      </c>
      <c r="W888" s="8" t="s">
        <v>5531</v>
      </c>
      <c r="X888" s="6"/>
      <c r="Y888" s="6"/>
      <c r="Z888" s="6"/>
      <c r="AA888" s="6" t="s">
        <v>141</v>
      </c>
    </row>
    <row r="889" spans="1:27" s="4" customFormat="1" ht="51.95" customHeight="1">
      <c r="A889" s="5">
        <v>0</v>
      </c>
      <c r="B889" s="6" t="s">
        <v>5532</v>
      </c>
      <c r="C889" s="13">
        <v>460</v>
      </c>
      <c r="D889" s="8" t="s">
        <v>5533</v>
      </c>
      <c r="E889" s="8" t="s">
        <v>5534</v>
      </c>
      <c r="F889" s="8" t="s">
        <v>5535</v>
      </c>
      <c r="G889" s="6" t="s">
        <v>37</v>
      </c>
      <c r="H889" s="6" t="s">
        <v>38</v>
      </c>
      <c r="I889" s="8" t="s">
        <v>39</v>
      </c>
      <c r="J889" s="9">
        <v>1</v>
      </c>
      <c r="K889" s="9">
        <v>124</v>
      </c>
      <c r="L889" s="9">
        <v>2021</v>
      </c>
      <c r="M889" s="8" t="s">
        <v>5536</v>
      </c>
      <c r="N889" s="8" t="s">
        <v>41</v>
      </c>
      <c r="O889" s="8" t="s">
        <v>42</v>
      </c>
      <c r="P889" s="6" t="s">
        <v>43</v>
      </c>
      <c r="Q889" s="8" t="s">
        <v>44</v>
      </c>
      <c r="R889" s="10" t="s">
        <v>5537</v>
      </c>
      <c r="S889" s="11"/>
      <c r="T889" s="6"/>
      <c r="U889" s="28" t="str">
        <f>HYPERLINK("https://media.infra-m.ru/1238/1238781/cover/1238781.jpg", "Обложка")</f>
        <v>Обложка</v>
      </c>
      <c r="V889" s="28" t="str">
        <f>HYPERLINK("https://znanium.ru/catalog/product/1238781", "Ознакомиться")</f>
        <v>Ознакомиться</v>
      </c>
      <c r="W889" s="8" t="s">
        <v>5538</v>
      </c>
      <c r="X889" s="6"/>
      <c r="Y889" s="6"/>
      <c r="Z889" s="6"/>
      <c r="AA889" s="6" t="s">
        <v>290</v>
      </c>
    </row>
    <row r="890" spans="1:27" s="4" customFormat="1" ht="42" customHeight="1">
      <c r="A890" s="5">
        <v>0</v>
      </c>
      <c r="B890" s="6" t="s">
        <v>5539</v>
      </c>
      <c r="C890" s="13">
        <v>690</v>
      </c>
      <c r="D890" s="8" t="s">
        <v>5540</v>
      </c>
      <c r="E890" s="8" t="s">
        <v>5541</v>
      </c>
      <c r="F890" s="8" t="s">
        <v>5542</v>
      </c>
      <c r="G890" s="6" t="s">
        <v>83</v>
      </c>
      <c r="H890" s="6" t="s">
        <v>38</v>
      </c>
      <c r="I890" s="8" t="s">
        <v>39</v>
      </c>
      <c r="J890" s="9">
        <v>1</v>
      </c>
      <c r="K890" s="9">
        <v>166</v>
      </c>
      <c r="L890" s="9">
        <v>2022</v>
      </c>
      <c r="M890" s="8" t="s">
        <v>5543</v>
      </c>
      <c r="N890" s="8" t="s">
        <v>41</v>
      </c>
      <c r="O890" s="8" t="s">
        <v>65</v>
      </c>
      <c r="P890" s="6" t="s">
        <v>43</v>
      </c>
      <c r="Q890" s="8" t="s">
        <v>44</v>
      </c>
      <c r="R890" s="10" t="s">
        <v>5544</v>
      </c>
      <c r="S890" s="11"/>
      <c r="T890" s="6"/>
      <c r="U890" s="28" t="str">
        <f>HYPERLINK("https://media.infra-m.ru/1740/1740732/cover/1740732.jpg", "Обложка")</f>
        <v>Обложка</v>
      </c>
      <c r="V890" s="28" t="str">
        <f>HYPERLINK("https://znanium.ru/catalog/product/1016706", "Ознакомиться")</f>
        <v>Ознакомиться</v>
      </c>
      <c r="W890" s="8" t="s">
        <v>2060</v>
      </c>
      <c r="X890" s="6"/>
      <c r="Y890" s="6"/>
      <c r="Z890" s="6"/>
      <c r="AA890" s="6" t="s">
        <v>364</v>
      </c>
    </row>
    <row r="891" spans="1:27" s="4" customFormat="1" ht="51.95" customHeight="1">
      <c r="A891" s="5">
        <v>0</v>
      </c>
      <c r="B891" s="6" t="s">
        <v>5545</v>
      </c>
      <c r="C891" s="7">
        <v>1930</v>
      </c>
      <c r="D891" s="8" t="s">
        <v>5546</v>
      </c>
      <c r="E891" s="8" t="s">
        <v>5547</v>
      </c>
      <c r="F891" s="8" t="s">
        <v>2229</v>
      </c>
      <c r="G891" s="6" t="s">
        <v>123</v>
      </c>
      <c r="H891" s="6" t="s">
        <v>52</v>
      </c>
      <c r="I891" s="8" t="s">
        <v>39</v>
      </c>
      <c r="J891" s="9">
        <v>1</v>
      </c>
      <c r="K891" s="9">
        <v>410</v>
      </c>
      <c r="L891" s="9">
        <v>2024</v>
      </c>
      <c r="M891" s="8" t="s">
        <v>5548</v>
      </c>
      <c r="N891" s="8" t="s">
        <v>41</v>
      </c>
      <c r="O891" s="8" t="s">
        <v>65</v>
      </c>
      <c r="P891" s="6" t="s">
        <v>43</v>
      </c>
      <c r="Q891" s="8" t="s">
        <v>44</v>
      </c>
      <c r="R891" s="10" t="s">
        <v>1660</v>
      </c>
      <c r="S891" s="11"/>
      <c r="T891" s="6"/>
      <c r="U891" s="28" t="str">
        <f>HYPERLINK("https://media.infra-m.ru/2140/2140032/cover/2140032.jpg", "Обложка")</f>
        <v>Обложка</v>
      </c>
      <c r="V891" s="28" t="str">
        <f>HYPERLINK("https://znanium.ru/catalog/product/2140032", "Ознакомиться")</f>
        <v>Ознакомиться</v>
      </c>
      <c r="W891" s="8" t="s">
        <v>2060</v>
      </c>
      <c r="X891" s="6"/>
      <c r="Y891" s="6"/>
      <c r="Z891" s="6"/>
      <c r="AA891" s="6" t="s">
        <v>650</v>
      </c>
    </row>
    <row r="892" spans="1:27" s="4" customFormat="1" ht="51.95" customHeight="1">
      <c r="A892" s="5">
        <v>0</v>
      </c>
      <c r="B892" s="6" t="s">
        <v>5549</v>
      </c>
      <c r="C892" s="7">
        <v>1190</v>
      </c>
      <c r="D892" s="8" t="s">
        <v>5550</v>
      </c>
      <c r="E892" s="8" t="s">
        <v>5551</v>
      </c>
      <c r="F892" s="8" t="s">
        <v>5552</v>
      </c>
      <c r="G892" s="6" t="s">
        <v>123</v>
      </c>
      <c r="H892" s="6" t="s">
        <v>38</v>
      </c>
      <c r="I892" s="8" t="s">
        <v>164</v>
      </c>
      <c r="J892" s="9">
        <v>1</v>
      </c>
      <c r="K892" s="9">
        <v>254</v>
      </c>
      <c r="L892" s="9">
        <v>2023</v>
      </c>
      <c r="M892" s="8" t="s">
        <v>5553</v>
      </c>
      <c r="N892" s="8" t="s">
        <v>41</v>
      </c>
      <c r="O892" s="8" t="s">
        <v>65</v>
      </c>
      <c r="P892" s="6" t="s">
        <v>176</v>
      </c>
      <c r="Q892" s="8" t="s">
        <v>56</v>
      </c>
      <c r="R892" s="10" t="s">
        <v>5554</v>
      </c>
      <c r="S892" s="11" t="s">
        <v>5555</v>
      </c>
      <c r="T892" s="6"/>
      <c r="U892" s="28" t="str">
        <f>HYPERLINK("https://media.infra-m.ru/1524/1524033/cover/1524033.jpg", "Обложка")</f>
        <v>Обложка</v>
      </c>
      <c r="V892" s="28" t="str">
        <f>HYPERLINK("https://znanium.ru/catalog/product/1524033", "Ознакомиться")</f>
        <v>Ознакомиться</v>
      </c>
      <c r="W892" s="8" t="s">
        <v>5556</v>
      </c>
      <c r="X892" s="6"/>
      <c r="Y892" s="6"/>
      <c r="Z892" s="6"/>
      <c r="AA892" s="6" t="s">
        <v>111</v>
      </c>
    </row>
    <row r="893" spans="1:27" s="4" customFormat="1" ht="44.1" customHeight="1">
      <c r="A893" s="5">
        <v>0</v>
      </c>
      <c r="B893" s="6" t="s">
        <v>5557</v>
      </c>
      <c r="C893" s="7">
        <v>1680</v>
      </c>
      <c r="D893" s="8" t="s">
        <v>5558</v>
      </c>
      <c r="E893" s="8" t="s">
        <v>5559</v>
      </c>
      <c r="F893" s="8" t="s">
        <v>5560</v>
      </c>
      <c r="G893" s="6" t="s">
        <v>83</v>
      </c>
      <c r="H893" s="6" t="s">
        <v>38</v>
      </c>
      <c r="I893" s="8" t="s">
        <v>1658</v>
      </c>
      <c r="J893" s="9">
        <v>1</v>
      </c>
      <c r="K893" s="9">
        <v>431</v>
      </c>
      <c r="L893" s="9">
        <v>2022</v>
      </c>
      <c r="M893" s="8" t="s">
        <v>5561</v>
      </c>
      <c r="N893" s="8" t="s">
        <v>41</v>
      </c>
      <c r="O893" s="8" t="s">
        <v>65</v>
      </c>
      <c r="P893" s="6" t="s">
        <v>43</v>
      </c>
      <c r="Q893" s="8" t="s">
        <v>1340</v>
      </c>
      <c r="R893" s="10" t="s">
        <v>3938</v>
      </c>
      <c r="S893" s="11"/>
      <c r="T893" s="6"/>
      <c r="U893" s="28" t="str">
        <f>HYPERLINK("https://media.infra-m.ru/1860/1860850/cover/1860850.jpg", "Обложка")</f>
        <v>Обложка</v>
      </c>
      <c r="V893" s="28" t="str">
        <f>HYPERLINK("https://znanium.ru/catalog/product/1860850", "Ознакомиться")</f>
        <v>Ознакомиться</v>
      </c>
      <c r="W893" s="8" t="s">
        <v>273</v>
      </c>
      <c r="X893" s="6"/>
      <c r="Y893" s="6"/>
      <c r="Z893" s="6"/>
      <c r="AA893" s="6" t="s">
        <v>364</v>
      </c>
    </row>
    <row r="894" spans="1:27" s="4" customFormat="1" ht="42" customHeight="1">
      <c r="A894" s="5">
        <v>0</v>
      </c>
      <c r="B894" s="6" t="s">
        <v>5562</v>
      </c>
      <c r="C894" s="7">
        <v>1560</v>
      </c>
      <c r="D894" s="8" t="s">
        <v>5563</v>
      </c>
      <c r="E894" s="8" t="s">
        <v>5564</v>
      </c>
      <c r="F894" s="8" t="s">
        <v>5565</v>
      </c>
      <c r="G894" s="6" t="s">
        <v>37</v>
      </c>
      <c r="H894" s="6" t="s">
        <v>38</v>
      </c>
      <c r="I894" s="8" t="s">
        <v>39</v>
      </c>
      <c r="J894" s="9">
        <v>1</v>
      </c>
      <c r="K894" s="9">
        <v>331</v>
      </c>
      <c r="L894" s="9">
        <v>2024</v>
      </c>
      <c r="M894" s="8" t="s">
        <v>5566</v>
      </c>
      <c r="N894" s="8" t="s">
        <v>41</v>
      </c>
      <c r="O894" s="8" t="s">
        <v>42</v>
      </c>
      <c r="P894" s="6" t="s">
        <v>43</v>
      </c>
      <c r="Q894" s="8" t="s">
        <v>44</v>
      </c>
      <c r="R894" s="10" t="s">
        <v>2666</v>
      </c>
      <c r="S894" s="11"/>
      <c r="T894" s="6"/>
      <c r="U894" s="28" t="str">
        <f>HYPERLINK("https://media.infra-m.ru/2143/2143233/cover/2143233.jpg", "Обложка")</f>
        <v>Обложка</v>
      </c>
      <c r="V894" s="28" t="str">
        <f>HYPERLINK("https://znanium.ru/catalog/product/2143233", "Ознакомиться")</f>
        <v>Ознакомиться</v>
      </c>
      <c r="W894" s="8" t="s">
        <v>1553</v>
      </c>
      <c r="X894" s="6"/>
      <c r="Y894" s="6"/>
      <c r="Z894" s="6"/>
      <c r="AA894" s="6" t="s">
        <v>193</v>
      </c>
    </row>
    <row r="895" spans="1:27" s="4" customFormat="1" ht="51.95" customHeight="1">
      <c r="A895" s="5">
        <v>0</v>
      </c>
      <c r="B895" s="6" t="s">
        <v>5567</v>
      </c>
      <c r="C895" s="7">
        <v>1540</v>
      </c>
      <c r="D895" s="8" t="s">
        <v>5568</v>
      </c>
      <c r="E895" s="8" t="s">
        <v>5569</v>
      </c>
      <c r="F895" s="8" t="s">
        <v>816</v>
      </c>
      <c r="G895" s="6" t="s">
        <v>37</v>
      </c>
      <c r="H895" s="6" t="s">
        <v>38</v>
      </c>
      <c r="I895" s="8" t="s">
        <v>39</v>
      </c>
      <c r="J895" s="9">
        <v>1</v>
      </c>
      <c r="K895" s="9">
        <v>327</v>
      </c>
      <c r="L895" s="9">
        <v>2024</v>
      </c>
      <c r="M895" s="8" t="s">
        <v>5570</v>
      </c>
      <c r="N895" s="8" t="s">
        <v>41</v>
      </c>
      <c r="O895" s="8" t="s">
        <v>65</v>
      </c>
      <c r="P895" s="6" t="s">
        <v>43</v>
      </c>
      <c r="Q895" s="8" t="s">
        <v>44</v>
      </c>
      <c r="R895" s="10" t="s">
        <v>5571</v>
      </c>
      <c r="S895" s="11"/>
      <c r="T895" s="6"/>
      <c r="U895" s="28" t="str">
        <f>HYPERLINK("https://media.infra-m.ru/2113/2113313/cover/2113313.jpg", "Обложка")</f>
        <v>Обложка</v>
      </c>
      <c r="V895" s="28" t="str">
        <f>HYPERLINK("https://znanium.ru/catalog/product/2113313", "Ознакомиться")</f>
        <v>Ознакомиться</v>
      </c>
      <c r="W895" s="8" t="s">
        <v>805</v>
      </c>
      <c r="X895" s="6"/>
      <c r="Y895" s="6"/>
      <c r="Z895" s="6"/>
      <c r="AA895" s="6" t="s">
        <v>193</v>
      </c>
    </row>
    <row r="896" spans="1:27" s="4" customFormat="1" ht="51.95" customHeight="1">
      <c r="A896" s="5">
        <v>0</v>
      </c>
      <c r="B896" s="6" t="s">
        <v>5572</v>
      </c>
      <c r="C896" s="7">
        <v>2360</v>
      </c>
      <c r="D896" s="8" t="s">
        <v>5573</v>
      </c>
      <c r="E896" s="8" t="s">
        <v>5574</v>
      </c>
      <c r="F896" s="8" t="s">
        <v>5575</v>
      </c>
      <c r="G896" s="6" t="s">
        <v>123</v>
      </c>
      <c r="H896" s="6" t="s">
        <v>38</v>
      </c>
      <c r="I896" s="8" t="s">
        <v>205</v>
      </c>
      <c r="J896" s="9">
        <v>1</v>
      </c>
      <c r="K896" s="9">
        <v>512</v>
      </c>
      <c r="L896" s="9">
        <v>2024</v>
      </c>
      <c r="M896" s="8" t="s">
        <v>5576</v>
      </c>
      <c r="N896" s="8" t="s">
        <v>74</v>
      </c>
      <c r="O896" s="8" t="s">
        <v>75</v>
      </c>
      <c r="P896" s="6" t="s">
        <v>176</v>
      </c>
      <c r="Q896" s="8" t="s">
        <v>207</v>
      </c>
      <c r="R896" s="10" t="s">
        <v>3096</v>
      </c>
      <c r="S896" s="11" t="s">
        <v>4029</v>
      </c>
      <c r="T896" s="6"/>
      <c r="U896" s="28" t="str">
        <f>HYPERLINK("https://media.infra-m.ru/1902/1902835/cover/1902835.jpg", "Обложка")</f>
        <v>Обложка</v>
      </c>
      <c r="V896" s="28" t="str">
        <f>HYPERLINK("https://znanium.ru/catalog/product/1902835", "Ознакомиться")</f>
        <v>Ознакомиться</v>
      </c>
      <c r="W896" s="8" t="s">
        <v>58</v>
      </c>
      <c r="X896" s="6"/>
      <c r="Y896" s="6"/>
      <c r="Z896" s="6"/>
      <c r="AA896" s="6" t="s">
        <v>47</v>
      </c>
    </row>
    <row r="897" spans="1:27" s="4" customFormat="1" ht="51.95" customHeight="1">
      <c r="A897" s="5">
        <v>0</v>
      </c>
      <c r="B897" s="6" t="s">
        <v>5577</v>
      </c>
      <c r="C897" s="7">
        <v>1820</v>
      </c>
      <c r="D897" s="8" t="s">
        <v>5578</v>
      </c>
      <c r="E897" s="8" t="s">
        <v>5579</v>
      </c>
      <c r="F897" s="8" t="s">
        <v>5580</v>
      </c>
      <c r="G897" s="6" t="s">
        <v>37</v>
      </c>
      <c r="H897" s="6" t="s">
        <v>470</v>
      </c>
      <c r="I897" s="8"/>
      <c r="J897" s="9">
        <v>1</v>
      </c>
      <c r="K897" s="9">
        <v>395</v>
      </c>
      <c r="L897" s="9">
        <v>2024</v>
      </c>
      <c r="M897" s="8" t="s">
        <v>5581</v>
      </c>
      <c r="N897" s="8" t="s">
        <v>74</v>
      </c>
      <c r="O897" s="8" t="s">
        <v>75</v>
      </c>
      <c r="P897" s="6" t="s">
        <v>55</v>
      </c>
      <c r="Q897" s="8" t="s">
        <v>594</v>
      </c>
      <c r="R897" s="10" t="s">
        <v>5582</v>
      </c>
      <c r="S897" s="11"/>
      <c r="T897" s="6" t="s">
        <v>190</v>
      </c>
      <c r="U897" s="28" t="str">
        <f>HYPERLINK("https://media.infra-m.ru/2119/2119967/cover/2119967.jpg", "Обложка")</f>
        <v>Обложка</v>
      </c>
      <c r="V897" s="28" t="str">
        <f>HYPERLINK("https://znanium.ru/catalog/product/2119967", "Ознакомиться")</f>
        <v>Ознакомиться</v>
      </c>
      <c r="W897" s="8" t="s">
        <v>409</v>
      </c>
      <c r="X897" s="6"/>
      <c r="Y897" s="6"/>
      <c r="Z897" s="6"/>
      <c r="AA897" s="6" t="s">
        <v>290</v>
      </c>
    </row>
    <row r="898" spans="1:27" s="4" customFormat="1" ht="44.1" customHeight="1">
      <c r="A898" s="5">
        <v>0</v>
      </c>
      <c r="B898" s="6" t="s">
        <v>5583</v>
      </c>
      <c r="C898" s="7">
        <v>1620</v>
      </c>
      <c r="D898" s="8" t="s">
        <v>5584</v>
      </c>
      <c r="E898" s="8" t="s">
        <v>5585</v>
      </c>
      <c r="F898" s="8" t="s">
        <v>5586</v>
      </c>
      <c r="G898" s="6" t="s">
        <v>83</v>
      </c>
      <c r="H898" s="6" t="s">
        <v>38</v>
      </c>
      <c r="I898" s="8" t="s">
        <v>325</v>
      </c>
      <c r="J898" s="9">
        <v>1</v>
      </c>
      <c r="K898" s="9">
        <v>358</v>
      </c>
      <c r="L898" s="9">
        <v>2023</v>
      </c>
      <c r="M898" s="8" t="s">
        <v>5587</v>
      </c>
      <c r="N898" s="8" t="s">
        <v>74</v>
      </c>
      <c r="O898" s="8" t="s">
        <v>75</v>
      </c>
      <c r="P898" s="6" t="s">
        <v>43</v>
      </c>
      <c r="Q898" s="8" t="s">
        <v>44</v>
      </c>
      <c r="R898" s="10" t="s">
        <v>3580</v>
      </c>
      <c r="S898" s="11"/>
      <c r="T898" s="6"/>
      <c r="U898" s="28" t="str">
        <f>HYPERLINK("https://media.infra-m.ru/2008/2008736/cover/2008736.jpg", "Обложка")</f>
        <v>Обложка</v>
      </c>
      <c r="V898" s="12"/>
      <c r="W898" s="8" t="s">
        <v>273</v>
      </c>
      <c r="X898" s="6"/>
      <c r="Y898" s="6"/>
      <c r="Z898" s="6"/>
      <c r="AA898" s="6" t="s">
        <v>68</v>
      </c>
    </row>
    <row r="899" spans="1:27" s="4" customFormat="1" ht="51.95" customHeight="1">
      <c r="A899" s="5">
        <v>0</v>
      </c>
      <c r="B899" s="6" t="s">
        <v>5588</v>
      </c>
      <c r="C899" s="13">
        <v>630</v>
      </c>
      <c r="D899" s="8" t="s">
        <v>5589</v>
      </c>
      <c r="E899" s="8" t="s">
        <v>5590</v>
      </c>
      <c r="F899" s="8" t="s">
        <v>5591</v>
      </c>
      <c r="G899" s="6" t="s">
        <v>37</v>
      </c>
      <c r="H899" s="6" t="s">
        <v>38</v>
      </c>
      <c r="I899" s="8" t="s">
        <v>325</v>
      </c>
      <c r="J899" s="9">
        <v>1</v>
      </c>
      <c r="K899" s="9">
        <v>136</v>
      </c>
      <c r="L899" s="9">
        <v>2024</v>
      </c>
      <c r="M899" s="8" t="s">
        <v>5592</v>
      </c>
      <c r="N899" s="8" t="s">
        <v>74</v>
      </c>
      <c r="O899" s="8" t="s">
        <v>3660</v>
      </c>
      <c r="P899" s="6" t="s">
        <v>43</v>
      </c>
      <c r="Q899" s="8" t="s">
        <v>44</v>
      </c>
      <c r="R899" s="10" t="s">
        <v>5593</v>
      </c>
      <c r="S899" s="11"/>
      <c r="T899" s="6"/>
      <c r="U899" s="28" t="str">
        <f>HYPERLINK("https://media.infra-m.ru/2117/2117633/cover/2117633.jpg", "Обложка")</f>
        <v>Обложка</v>
      </c>
      <c r="V899" s="12"/>
      <c r="W899" s="8" t="s">
        <v>327</v>
      </c>
      <c r="X899" s="6"/>
      <c r="Y899" s="6"/>
      <c r="Z899" s="6"/>
      <c r="AA899" s="6" t="s">
        <v>68</v>
      </c>
    </row>
    <row r="900" spans="1:27" s="4" customFormat="1" ht="51.95" customHeight="1">
      <c r="A900" s="5">
        <v>0</v>
      </c>
      <c r="B900" s="6" t="s">
        <v>5594</v>
      </c>
      <c r="C900" s="13">
        <v>870</v>
      </c>
      <c r="D900" s="8" t="s">
        <v>5595</v>
      </c>
      <c r="E900" s="8" t="s">
        <v>5596</v>
      </c>
      <c r="F900" s="8" t="s">
        <v>5597</v>
      </c>
      <c r="G900" s="6" t="s">
        <v>37</v>
      </c>
      <c r="H900" s="6" t="s">
        <v>38</v>
      </c>
      <c r="I900" s="8" t="s">
        <v>39</v>
      </c>
      <c r="J900" s="9">
        <v>1</v>
      </c>
      <c r="K900" s="9">
        <v>223</v>
      </c>
      <c r="L900" s="9">
        <v>2022</v>
      </c>
      <c r="M900" s="8" t="s">
        <v>5598</v>
      </c>
      <c r="N900" s="8" t="s">
        <v>74</v>
      </c>
      <c r="O900" s="8" t="s">
        <v>1559</v>
      </c>
      <c r="P900" s="6" t="s">
        <v>43</v>
      </c>
      <c r="Q900" s="8" t="s">
        <v>44</v>
      </c>
      <c r="R900" s="10" t="s">
        <v>5599</v>
      </c>
      <c r="S900" s="11"/>
      <c r="T900" s="6"/>
      <c r="U900" s="28" t="str">
        <f>HYPERLINK("https://media.infra-m.ru/1861/1861788/cover/1861788.jpg", "Обложка")</f>
        <v>Обложка</v>
      </c>
      <c r="V900" s="28" t="str">
        <f>HYPERLINK("https://znanium.ru/catalog/product/1861788", "Ознакомиться")</f>
        <v>Ознакомиться</v>
      </c>
      <c r="W900" s="8" t="s">
        <v>1569</v>
      </c>
      <c r="X900" s="6"/>
      <c r="Y900" s="6"/>
      <c r="Z900" s="6"/>
      <c r="AA900" s="6" t="s">
        <v>47</v>
      </c>
    </row>
    <row r="901" spans="1:27" s="4" customFormat="1" ht="42" customHeight="1">
      <c r="A901" s="5">
        <v>0</v>
      </c>
      <c r="B901" s="6" t="s">
        <v>5600</v>
      </c>
      <c r="C901" s="13">
        <v>604.9</v>
      </c>
      <c r="D901" s="8" t="s">
        <v>5601</v>
      </c>
      <c r="E901" s="8" t="s">
        <v>5602</v>
      </c>
      <c r="F901" s="8" t="s">
        <v>5603</v>
      </c>
      <c r="G901" s="6" t="s">
        <v>37</v>
      </c>
      <c r="H901" s="6" t="s">
        <v>38</v>
      </c>
      <c r="I901" s="8" t="s">
        <v>164</v>
      </c>
      <c r="J901" s="9">
        <v>1</v>
      </c>
      <c r="K901" s="9">
        <v>159</v>
      </c>
      <c r="L901" s="9">
        <v>2022</v>
      </c>
      <c r="M901" s="8" t="s">
        <v>5604</v>
      </c>
      <c r="N901" s="8" t="s">
        <v>41</v>
      </c>
      <c r="O901" s="8" t="s">
        <v>65</v>
      </c>
      <c r="P901" s="6" t="s">
        <v>55</v>
      </c>
      <c r="Q901" s="8" t="s">
        <v>56</v>
      </c>
      <c r="R901" s="10" t="s">
        <v>2467</v>
      </c>
      <c r="S901" s="11"/>
      <c r="T901" s="6"/>
      <c r="U901" s="28" t="str">
        <f>HYPERLINK("https://media.infra-m.ru/1853/1853522/cover/1853522.jpg", "Обложка")</f>
        <v>Обложка</v>
      </c>
      <c r="V901" s="28" t="str">
        <f>HYPERLINK("https://znanium.ru/catalog/product/1009626", "Ознакомиться")</f>
        <v>Ознакомиться</v>
      </c>
      <c r="W901" s="8" t="s">
        <v>1028</v>
      </c>
      <c r="X901" s="6"/>
      <c r="Y901" s="6"/>
      <c r="Z901" s="6"/>
      <c r="AA901" s="6" t="s">
        <v>381</v>
      </c>
    </row>
    <row r="902" spans="1:27" s="4" customFormat="1" ht="51.95" customHeight="1">
      <c r="A902" s="5">
        <v>0</v>
      </c>
      <c r="B902" s="6" t="s">
        <v>5605</v>
      </c>
      <c r="C902" s="13">
        <v>694</v>
      </c>
      <c r="D902" s="8" t="s">
        <v>5606</v>
      </c>
      <c r="E902" s="8" t="s">
        <v>5602</v>
      </c>
      <c r="F902" s="8" t="s">
        <v>1721</v>
      </c>
      <c r="G902" s="6" t="s">
        <v>37</v>
      </c>
      <c r="H902" s="6" t="s">
        <v>38</v>
      </c>
      <c r="I902" s="8" t="s">
        <v>164</v>
      </c>
      <c r="J902" s="9">
        <v>1</v>
      </c>
      <c r="K902" s="9">
        <v>199</v>
      </c>
      <c r="L902" s="9">
        <v>2019</v>
      </c>
      <c r="M902" s="8" t="s">
        <v>5607</v>
      </c>
      <c r="N902" s="8" t="s">
        <v>41</v>
      </c>
      <c r="O902" s="8" t="s">
        <v>65</v>
      </c>
      <c r="P902" s="6" t="s">
        <v>55</v>
      </c>
      <c r="Q902" s="8" t="s">
        <v>56</v>
      </c>
      <c r="R902" s="10" t="s">
        <v>3987</v>
      </c>
      <c r="S902" s="11" t="s">
        <v>1724</v>
      </c>
      <c r="T902" s="6"/>
      <c r="U902" s="28" t="str">
        <f>HYPERLINK("https://media.infra-m.ru/1009/1009964/cover/1009964.jpg", "Обложка")</f>
        <v>Обложка</v>
      </c>
      <c r="V902" s="28" t="str">
        <f>HYPERLINK("https://znanium.ru/catalog/product/1009964", "Ознакомиться")</f>
        <v>Ознакомиться</v>
      </c>
      <c r="W902" s="8" t="s">
        <v>1028</v>
      </c>
      <c r="X902" s="6"/>
      <c r="Y902" s="6"/>
      <c r="Z902" s="6"/>
      <c r="AA902" s="6" t="s">
        <v>364</v>
      </c>
    </row>
    <row r="903" spans="1:27" s="4" customFormat="1" ht="44.1" customHeight="1">
      <c r="A903" s="5">
        <v>0</v>
      </c>
      <c r="B903" s="6" t="s">
        <v>5608</v>
      </c>
      <c r="C903" s="13">
        <v>914</v>
      </c>
      <c r="D903" s="8" t="s">
        <v>5609</v>
      </c>
      <c r="E903" s="8" t="s">
        <v>5610</v>
      </c>
      <c r="F903" s="8" t="s">
        <v>4544</v>
      </c>
      <c r="G903" s="6" t="s">
        <v>37</v>
      </c>
      <c r="H903" s="6" t="s">
        <v>317</v>
      </c>
      <c r="I903" s="8" t="s">
        <v>39</v>
      </c>
      <c r="J903" s="9">
        <v>1</v>
      </c>
      <c r="K903" s="9">
        <v>202</v>
      </c>
      <c r="L903" s="9">
        <v>2023</v>
      </c>
      <c r="M903" s="8" t="s">
        <v>5611</v>
      </c>
      <c r="N903" s="8" t="s">
        <v>74</v>
      </c>
      <c r="O903" s="8" t="s">
        <v>75</v>
      </c>
      <c r="P903" s="6" t="s">
        <v>43</v>
      </c>
      <c r="Q903" s="8" t="s">
        <v>44</v>
      </c>
      <c r="R903" s="10" t="s">
        <v>5612</v>
      </c>
      <c r="S903" s="11"/>
      <c r="T903" s="6"/>
      <c r="U903" s="28" t="str">
        <f>HYPERLINK("https://media.infra-m.ru/2034/2034552/cover/2034552.jpg", "Обложка")</f>
        <v>Обложка</v>
      </c>
      <c r="V903" s="28" t="str">
        <f>HYPERLINK("https://znanium.ru/catalog/product/1902650", "Ознакомиться")</f>
        <v>Ознакомиться</v>
      </c>
      <c r="W903" s="8" t="s">
        <v>4319</v>
      </c>
      <c r="X903" s="6"/>
      <c r="Y903" s="6"/>
      <c r="Z903" s="6"/>
      <c r="AA903" s="6" t="s">
        <v>290</v>
      </c>
    </row>
    <row r="904" spans="1:27" s="4" customFormat="1" ht="44.1" customHeight="1">
      <c r="A904" s="5">
        <v>0</v>
      </c>
      <c r="B904" s="6" t="s">
        <v>5613</v>
      </c>
      <c r="C904" s="13">
        <v>864.9</v>
      </c>
      <c r="D904" s="8" t="s">
        <v>5614</v>
      </c>
      <c r="E904" s="8" t="s">
        <v>5615</v>
      </c>
      <c r="F904" s="8" t="s">
        <v>5616</v>
      </c>
      <c r="G904" s="6" t="s">
        <v>123</v>
      </c>
      <c r="H904" s="6" t="s">
        <v>725</v>
      </c>
      <c r="I904" s="8"/>
      <c r="J904" s="9">
        <v>1</v>
      </c>
      <c r="K904" s="9">
        <v>432</v>
      </c>
      <c r="L904" s="9">
        <v>2015</v>
      </c>
      <c r="M904" s="8" t="s">
        <v>5617</v>
      </c>
      <c r="N904" s="8" t="s">
        <v>41</v>
      </c>
      <c r="O904" s="8" t="s">
        <v>42</v>
      </c>
      <c r="P904" s="6" t="s">
        <v>5618</v>
      </c>
      <c r="Q904" s="8" t="s">
        <v>44</v>
      </c>
      <c r="R904" s="10" t="s">
        <v>5619</v>
      </c>
      <c r="S904" s="11"/>
      <c r="T904" s="6"/>
      <c r="U904" s="28" t="str">
        <f>HYPERLINK("https://media.infra-m.ru/0481/0481748/cover/481748.jpg", "Обложка")</f>
        <v>Обложка</v>
      </c>
      <c r="V904" s="28" t="str">
        <f>HYPERLINK("https://znanium.ru/catalog/product/367393", "Ознакомиться")</f>
        <v>Ознакомиться</v>
      </c>
      <c r="W904" s="8" t="s">
        <v>416</v>
      </c>
      <c r="X904" s="6"/>
      <c r="Y904" s="6"/>
      <c r="Z904" s="6"/>
      <c r="AA904" s="6" t="s">
        <v>96</v>
      </c>
    </row>
    <row r="905" spans="1:27" s="4" customFormat="1" ht="42" customHeight="1">
      <c r="A905" s="5">
        <v>0</v>
      </c>
      <c r="B905" s="6" t="s">
        <v>5620</v>
      </c>
      <c r="C905" s="7">
        <v>1180</v>
      </c>
      <c r="D905" s="8" t="s">
        <v>5621</v>
      </c>
      <c r="E905" s="8" t="s">
        <v>5622</v>
      </c>
      <c r="F905" s="8" t="s">
        <v>5623</v>
      </c>
      <c r="G905" s="6" t="s">
        <v>123</v>
      </c>
      <c r="H905" s="6" t="s">
        <v>38</v>
      </c>
      <c r="I905" s="8" t="s">
        <v>39</v>
      </c>
      <c r="J905" s="9">
        <v>1</v>
      </c>
      <c r="K905" s="9">
        <v>203</v>
      </c>
      <c r="L905" s="9">
        <v>2023</v>
      </c>
      <c r="M905" s="8" t="s">
        <v>5624</v>
      </c>
      <c r="N905" s="8" t="s">
        <v>74</v>
      </c>
      <c r="O905" s="8" t="s">
        <v>93</v>
      </c>
      <c r="P905" s="6" t="s">
        <v>43</v>
      </c>
      <c r="Q905" s="8" t="s">
        <v>44</v>
      </c>
      <c r="R905" s="10" t="s">
        <v>1710</v>
      </c>
      <c r="S905" s="11"/>
      <c r="T905" s="6"/>
      <c r="U905" s="28" t="str">
        <f>HYPERLINK("https://media.infra-m.ru/1914/1914701/cover/1914701.jpg", "Обложка")</f>
        <v>Обложка</v>
      </c>
      <c r="V905" s="28" t="str">
        <f>HYPERLINK("https://znanium.ru/catalog/product/1914701", "Ознакомиться")</f>
        <v>Ознакомиться</v>
      </c>
      <c r="W905" s="8" t="s">
        <v>355</v>
      </c>
      <c r="X905" s="6" t="s">
        <v>1997</v>
      </c>
      <c r="Y905" s="6"/>
      <c r="Z905" s="6"/>
      <c r="AA905" s="6" t="s">
        <v>111</v>
      </c>
    </row>
    <row r="906" spans="1:27" s="4" customFormat="1" ht="51.95" customHeight="1">
      <c r="A906" s="5">
        <v>0</v>
      </c>
      <c r="B906" s="6" t="s">
        <v>5625</v>
      </c>
      <c r="C906" s="7">
        <v>1494</v>
      </c>
      <c r="D906" s="8" t="s">
        <v>5626</v>
      </c>
      <c r="E906" s="8" t="s">
        <v>5627</v>
      </c>
      <c r="F906" s="8" t="s">
        <v>5628</v>
      </c>
      <c r="G906" s="6" t="s">
        <v>83</v>
      </c>
      <c r="H906" s="6" t="s">
        <v>38</v>
      </c>
      <c r="I906" s="8" t="s">
        <v>185</v>
      </c>
      <c r="J906" s="9">
        <v>1</v>
      </c>
      <c r="K906" s="9">
        <v>323</v>
      </c>
      <c r="L906" s="9">
        <v>2023</v>
      </c>
      <c r="M906" s="8" t="s">
        <v>5629</v>
      </c>
      <c r="N906" s="8" t="s">
        <v>74</v>
      </c>
      <c r="O906" s="8" t="s">
        <v>75</v>
      </c>
      <c r="P906" s="6" t="s">
        <v>176</v>
      </c>
      <c r="Q906" s="8" t="s">
        <v>187</v>
      </c>
      <c r="R906" s="10" t="s">
        <v>5630</v>
      </c>
      <c r="S906" s="11" t="s">
        <v>5631</v>
      </c>
      <c r="T906" s="6"/>
      <c r="U906" s="28" t="str">
        <f>HYPERLINK("https://media.infra-m.ru/2111/2111405/cover/2111405.jpg", "Обложка")</f>
        <v>Обложка</v>
      </c>
      <c r="V906" s="28" t="str">
        <f>HYPERLINK("https://znanium.ru/catalog/product/2111404", "Ознакомиться")</f>
        <v>Ознакомиться</v>
      </c>
      <c r="W906" s="8" t="s">
        <v>5632</v>
      </c>
      <c r="X906" s="6"/>
      <c r="Y906" s="6"/>
      <c r="Z906" s="6" t="s">
        <v>192</v>
      </c>
      <c r="AA906" s="6" t="s">
        <v>193</v>
      </c>
    </row>
    <row r="907" spans="1:27" s="4" customFormat="1" ht="51.95" customHeight="1">
      <c r="A907" s="5">
        <v>0</v>
      </c>
      <c r="B907" s="6" t="s">
        <v>5633</v>
      </c>
      <c r="C907" s="7">
        <v>1520</v>
      </c>
      <c r="D907" s="8" t="s">
        <v>5634</v>
      </c>
      <c r="E907" s="8" t="s">
        <v>5627</v>
      </c>
      <c r="F907" s="8" t="s">
        <v>5628</v>
      </c>
      <c r="G907" s="6" t="s">
        <v>83</v>
      </c>
      <c r="H907" s="6" t="s">
        <v>38</v>
      </c>
      <c r="I907" s="8" t="s">
        <v>205</v>
      </c>
      <c r="J907" s="9">
        <v>1</v>
      </c>
      <c r="K907" s="9">
        <v>323</v>
      </c>
      <c r="L907" s="9">
        <v>2024</v>
      </c>
      <c r="M907" s="8" t="s">
        <v>5635</v>
      </c>
      <c r="N907" s="8" t="s">
        <v>74</v>
      </c>
      <c r="O907" s="8" t="s">
        <v>75</v>
      </c>
      <c r="P907" s="6" t="s">
        <v>176</v>
      </c>
      <c r="Q907" s="8" t="s">
        <v>207</v>
      </c>
      <c r="R907" s="10" t="s">
        <v>5636</v>
      </c>
      <c r="S907" s="11" t="s">
        <v>5637</v>
      </c>
      <c r="T907" s="6"/>
      <c r="U907" s="28" t="str">
        <f>HYPERLINK("https://media.infra-m.ru/2132/2132084/cover/2132084.jpg", "Обложка")</f>
        <v>Обложка</v>
      </c>
      <c r="V907" s="28" t="str">
        <f>HYPERLINK("https://znanium.ru/catalog/product/2132084", "Ознакомиться")</f>
        <v>Ознакомиться</v>
      </c>
      <c r="W907" s="8" t="s">
        <v>5632</v>
      </c>
      <c r="X907" s="6"/>
      <c r="Y907" s="6"/>
      <c r="Z907" s="6" t="s">
        <v>235</v>
      </c>
      <c r="AA907" s="6" t="s">
        <v>68</v>
      </c>
    </row>
    <row r="908" spans="1:27" s="4" customFormat="1" ht="51.95" customHeight="1">
      <c r="A908" s="5">
        <v>0</v>
      </c>
      <c r="B908" s="6" t="s">
        <v>5638</v>
      </c>
      <c r="C908" s="7">
        <v>1524</v>
      </c>
      <c r="D908" s="8" t="s">
        <v>5639</v>
      </c>
      <c r="E908" s="8" t="s">
        <v>5627</v>
      </c>
      <c r="F908" s="8" t="s">
        <v>5628</v>
      </c>
      <c r="G908" s="6" t="s">
        <v>83</v>
      </c>
      <c r="H908" s="6" t="s">
        <v>38</v>
      </c>
      <c r="I908" s="8" t="s">
        <v>164</v>
      </c>
      <c r="J908" s="9">
        <v>1</v>
      </c>
      <c r="K908" s="9">
        <v>323</v>
      </c>
      <c r="L908" s="9">
        <v>2024</v>
      </c>
      <c r="M908" s="8" t="s">
        <v>5640</v>
      </c>
      <c r="N908" s="8" t="s">
        <v>74</v>
      </c>
      <c r="O908" s="8" t="s">
        <v>75</v>
      </c>
      <c r="P908" s="6" t="s">
        <v>176</v>
      </c>
      <c r="Q908" s="8" t="s">
        <v>56</v>
      </c>
      <c r="R908" s="10" t="s">
        <v>5641</v>
      </c>
      <c r="S908" s="11" t="s">
        <v>5642</v>
      </c>
      <c r="T908" s="6"/>
      <c r="U908" s="28" t="str">
        <f>HYPERLINK("https://media.infra-m.ru/2133/2133952/cover/2133952.jpg", "Обложка")</f>
        <v>Обложка</v>
      </c>
      <c r="V908" s="28" t="str">
        <f>HYPERLINK("https://znanium.ru/catalog/product/1088891", "Ознакомиться")</f>
        <v>Ознакомиться</v>
      </c>
      <c r="W908" s="8" t="s">
        <v>5632</v>
      </c>
      <c r="X908" s="6"/>
      <c r="Y908" s="6"/>
      <c r="Z908" s="6"/>
      <c r="AA908" s="6" t="s">
        <v>364</v>
      </c>
    </row>
    <row r="909" spans="1:27" s="4" customFormat="1" ht="51.95" customHeight="1">
      <c r="A909" s="5">
        <v>0</v>
      </c>
      <c r="B909" s="6" t="s">
        <v>5643</v>
      </c>
      <c r="C909" s="13">
        <v>320</v>
      </c>
      <c r="D909" s="8" t="s">
        <v>5644</v>
      </c>
      <c r="E909" s="8" t="s">
        <v>5645</v>
      </c>
      <c r="F909" s="8" t="s">
        <v>4212</v>
      </c>
      <c r="G909" s="6" t="s">
        <v>37</v>
      </c>
      <c r="H909" s="6" t="s">
        <v>38</v>
      </c>
      <c r="I909" s="8" t="s">
        <v>155</v>
      </c>
      <c r="J909" s="9">
        <v>1</v>
      </c>
      <c r="K909" s="9">
        <v>56</v>
      </c>
      <c r="L909" s="9">
        <v>2024</v>
      </c>
      <c r="M909" s="8" t="s">
        <v>5646</v>
      </c>
      <c r="N909" s="8" t="s">
        <v>74</v>
      </c>
      <c r="O909" s="8" t="s">
        <v>75</v>
      </c>
      <c r="P909" s="6" t="s">
        <v>55</v>
      </c>
      <c r="Q909" s="8" t="s">
        <v>56</v>
      </c>
      <c r="R909" s="10" t="s">
        <v>5647</v>
      </c>
      <c r="S909" s="11" t="s">
        <v>5648</v>
      </c>
      <c r="T909" s="6"/>
      <c r="U909" s="28" t="str">
        <f>HYPERLINK("https://media.infra-m.ru/1913/1913241/cover/1913241.jpg", "Обложка")</f>
        <v>Обложка</v>
      </c>
      <c r="V909" s="28" t="str">
        <f>HYPERLINK("https://znanium.ru/catalog/product/1913241", "Ознакомиться")</f>
        <v>Ознакомиться</v>
      </c>
      <c r="W909" s="8" t="s">
        <v>4216</v>
      </c>
      <c r="X909" s="6"/>
      <c r="Y909" s="6"/>
      <c r="Z909" s="6"/>
      <c r="AA909" s="6" t="s">
        <v>650</v>
      </c>
    </row>
    <row r="910" spans="1:27" s="4" customFormat="1" ht="51.95" customHeight="1">
      <c r="A910" s="5">
        <v>0</v>
      </c>
      <c r="B910" s="6" t="s">
        <v>5649</v>
      </c>
      <c r="C910" s="7">
        <v>2840</v>
      </c>
      <c r="D910" s="8" t="s">
        <v>5650</v>
      </c>
      <c r="E910" s="8" t="s">
        <v>5651</v>
      </c>
      <c r="F910" s="8" t="s">
        <v>5652</v>
      </c>
      <c r="G910" s="6" t="s">
        <v>123</v>
      </c>
      <c r="H910" s="6" t="s">
        <v>38</v>
      </c>
      <c r="I910" s="8" t="s">
        <v>205</v>
      </c>
      <c r="J910" s="9">
        <v>1</v>
      </c>
      <c r="K910" s="9">
        <v>630</v>
      </c>
      <c r="L910" s="9">
        <v>2023</v>
      </c>
      <c r="M910" s="8" t="s">
        <v>5653</v>
      </c>
      <c r="N910" s="8" t="s">
        <v>74</v>
      </c>
      <c r="O910" s="8" t="s">
        <v>75</v>
      </c>
      <c r="P910" s="6" t="s">
        <v>55</v>
      </c>
      <c r="Q910" s="8" t="s">
        <v>207</v>
      </c>
      <c r="R910" s="10" t="s">
        <v>5654</v>
      </c>
      <c r="S910" s="11" t="s">
        <v>5655</v>
      </c>
      <c r="T910" s="6" t="s">
        <v>190</v>
      </c>
      <c r="U910" s="28" t="str">
        <f>HYPERLINK("https://media.infra-m.ru/1014/1014771/cover/1014771.jpg", "Обложка")</f>
        <v>Обложка</v>
      </c>
      <c r="V910" s="28" t="str">
        <f>HYPERLINK("https://znanium.ru/catalog/product/1014771", "Ознакомиться")</f>
        <v>Ознакомиться</v>
      </c>
      <c r="W910" s="8" t="s">
        <v>2839</v>
      </c>
      <c r="X910" s="6"/>
      <c r="Y910" s="6"/>
      <c r="Z910" s="6"/>
      <c r="AA910" s="6" t="s">
        <v>111</v>
      </c>
    </row>
    <row r="911" spans="1:27" s="4" customFormat="1" ht="51.95" customHeight="1">
      <c r="A911" s="5">
        <v>0</v>
      </c>
      <c r="B911" s="6" t="s">
        <v>5656</v>
      </c>
      <c r="C911" s="7">
        <v>3700</v>
      </c>
      <c r="D911" s="8" t="s">
        <v>5657</v>
      </c>
      <c r="E911" s="8" t="s">
        <v>5658</v>
      </c>
      <c r="F911" s="8" t="s">
        <v>5652</v>
      </c>
      <c r="G911" s="6" t="s">
        <v>123</v>
      </c>
      <c r="H911" s="6" t="s">
        <v>38</v>
      </c>
      <c r="I911" s="8" t="s">
        <v>205</v>
      </c>
      <c r="J911" s="9">
        <v>1</v>
      </c>
      <c r="K911" s="9">
        <v>823</v>
      </c>
      <c r="L911" s="9">
        <v>2023</v>
      </c>
      <c r="M911" s="8" t="s">
        <v>5659</v>
      </c>
      <c r="N911" s="8" t="s">
        <v>74</v>
      </c>
      <c r="O911" s="8" t="s">
        <v>75</v>
      </c>
      <c r="P911" s="6" t="s">
        <v>176</v>
      </c>
      <c r="Q911" s="8" t="s">
        <v>207</v>
      </c>
      <c r="R911" s="10" t="s">
        <v>5654</v>
      </c>
      <c r="S911" s="11" t="s">
        <v>5660</v>
      </c>
      <c r="T911" s="6" t="s">
        <v>190</v>
      </c>
      <c r="U911" s="28" t="str">
        <f>HYPERLINK("https://media.infra-m.ru/2036/2036505/cover/2036505.jpg", "Обложка")</f>
        <v>Обложка</v>
      </c>
      <c r="V911" s="28" t="str">
        <f>HYPERLINK("https://znanium.ru/catalog/product/1013721", "Ознакомиться")</f>
        <v>Ознакомиться</v>
      </c>
      <c r="W911" s="8" t="s">
        <v>2839</v>
      </c>
      <c r="X911" s="6"/>
      <c r="Y911" s="6"/>
      <c r="Z911" s="6"/>
      <c r="AA911" s="6" t="s">
        <v>111</v>
      </c>
    </row>
    <row r="912" spans="1:27" s="4" customFormat="1" ht="51.95" customHeight="1">
      <c r="A912" s="5">
        <v>0</v>
      </c>
      <c r="B912" s="6" t="s">
        <v>5661</v>
      </c>
      <c r="C912" s="7">
        <v>1200</v>
      </c>
      <c r="D912" s="8" t="s">
        <v>5662</v>
      </c>
      <c r="E912" s="8" t="s">
        <v>5663</v>
      </c>
      <c r="F912" s="8" t="s">
        <v>1161</v>
      </c>
      <c r="G912" s="6" t="s">
        <v>83</v>
      </c>
      <c r="H912" s="6" t="s">
        <v>470</v>
      </c>
      <c r="I912" s="8" t="s">
        <v>205</v>
      </c>
      <c r="J912" s="9">
        <v>1</v>
      </c>
      <c r="K912" s="9">
        <v>267</v>
      </c>
      <c r="L912" s="9">
        <v>2023</v>
      </c>
      <c r="M912" s="8" t="s">
        <v>5664</v>
      </c>
      <c r="N912" s="8" t="s">
        <v>74</v>
      </c>
      <c r="O912" s="8" t="s">
        <v>75</v>
      </c>
      <c r="P912" s="6" t="s">
        <v>55</v>
      </c>
      <c r="Q912" s="8" t="s">
        <v>207</v>
      </c>
      <c r="R912" s="10" t="s">
        <v>5654</v>
      </c>
      <c r="S912" s="11" t="s">
        <v>5665</v>
      </c>
      <c r="T912" s="6"/>
      <c r="U912" s="28" t="str">
        <f>HYPERLINK("https://media.infra-m.ru/1914/1914132/cover/1914132.jpg", "Обложка")</f>
        <v>Обложка</v>
      </c>
      <c r="V912" s="28" t="str">
        <f>HYPERLINK("https://znanium.ru/catalog/product/1914132", "Ознакомиться")</f>
        <v>Ознакомиться</v>
      </c>
      <c r="W912" s="8" t="s">
        <v>1165</v>
      </c>
      <c r="X912" s="6"/>
      <c r="Y912" s="6"/>
      <c r="Z912" s="6" t="s">
        <v>782</v>
      </c>
      <c r="AA912" s="6" t="s">
        <v>141</v>
      </c>
    </row>
    <row r="913" spans="1:27" s="4" customFormat="1" ht="42" customHeight="1">
      <c r="A913" s="5">
        <v>0</v>
      </c>
      <c r="B913" s="6" t="s">
        <v>5666</v>
      </c>
      <c r="C913" s="7">
        <v>1204</v>
      </c>
      <c r="D913" s="8" t="s">
        <v>5667</v>
      </c>
      <c r="E913" s="8" t="s">
        <v>5663</v>
      </c>
      <c r="F913" s="8" t="s">
        <v>1169</v>
      </c>
      <c r="G913" s="6" t="s">
        <v>123</v>
      </c>
      <c r="H913" s="6" t="s">
        <v>470</v>
      </c>
      <c r="I913" s="8" t="s">
        <v>155</v>
      </c>
      <c r="J913" s="9">
        <v>1</v>
      </c>
      <c r="K913" s="9">
        <v>267</v>
      </c>
      <c r="L913" s="9">
        <v>2024</v>
      </c>
      <c r="M913" s="8" t="s">
        <v>5668</v>
      </c>
      <c r="N913" s="8" t="s">
        <v>74</v>
      </c>
      <c r="O913" s="8" t="s">
        <v>75</v>
      </c>
      <c r="P913" s="6" t="s">
        <v>55</v>
      </c>
      <c r="Q913" s="8" t="s">
        <v>177</v>
      </c>
      <c r="R913" s="10" t="s">
        <v>5647</v>
      </c>
      <c r="S913" s="11"/>
      <c r="T913" s="6"/>
      <c r="U913" s="28" t="str">
        <f>HYPERLINK("https://media.infra-m.ru/2058/2058762/cover/2058762.jpg", "Обложка")</f>
        <v>Обложка</v>
      </c>
      <c r="V913" s="28" t="str">
        <f>HYPERLINK("https://znanium.ru/catalog/product/1836598", "Ознакомиться")</f>
        <v>Ознакомиться</v>
      </c>
      <c r="W913" s="8" t="s">
        <v>1165</v>
      </c>
      <c r="X913" s="6"/>
      <c r="Y913" s="6"/>
      <c r="Z913" s="6"/>
      <c r="AA913" s="6" t="s">
        <v>274</v>
      </c>
    </row>
    <row r="914" spans="1:27" s="4" customFormat="1" ht="42" customHeight="1">
      <c r="A914" s="5">
        <v>0</v>
      </c>
      <c r="B914" s="6" t="s">
        <v>5669</v>
      </c>
      <c r="C914" s="7">
        <v>1174</v>
      </c>
      <c r="D914" s="8" t="s">
        <v>5670</v>
      </c>
      <c r="E914" s="8" t="s">
        <v>5671</v>
      </c>
      <c r="F914" s="8" t="s">
        <v>5672</v>
      </c>
      <c r="G914" s="6" t="s">
        <v>37</v>
      </c>
      <c r="H914" s="6" t="s">
        <v>52</v>
      </c>
      <c r="I914" s="8"/>
      <c r="J914" s="9">
        <v>1</v>
      </c>
      <c r="K914" s="9">
        <v>256</v>
      </c>
      <c r="L914" s="9">
        <v>2023</v>
      </c>
      <c r="M914" s="8" t="s">
        <v>5673</v>
      </c>
      <c r="N914" s="8" t="s">
        <v>74</v>
      </c>
      <c r="O914" s="8" t="s">
        <v>75</v>
      </c>
      <c r="P914" s="6" t="s">
        <v>960</v>
      </c>
      <c r="Q914" s="8" t="s">
        <v>56</v>
      </c>
      <c r="R914" s="10" t="s">
        <v>5647</v>
      </c>
      <c r="S914" s="11"/>
      <c r="T914" s="6"/>
      <c r="U914" s="28" t="str">
        <f>HYPERLINK("https://media.infra-m.ru/1912/1912658/cover/1912658.jpg", "Обложка")</f>
        <v>Обложка</v>
      </c>
      <c r="V914" s="12"/>
      <c r="W914" s="8" t="s">
        <v>341</v>
      </c>
      <c r="X914" s="6"/>
      <c r="Y914" s="6"/>
      <c r="Z914" s="6"/>
      <c r="AA914" s="6" t="s">
        <v>47</v>
      </c>
    </row>
    <row r="915" spans="1:27" s="4" customFormat="1" ht="51.95" customHeight="1">
      <c r="A915" s="5">
        <v>0</v>
      </c>
      <c r="B915" s="6" t="s">
        <v>5674</v>
      </c>
      <c r="C915" s="7">
        <v>1664</v>
      </c>
      <c r="D915" s="8" t="s">
        <v>5675</v>
      </c>
      <c r="E915" s="8" t="s">
        <v>5676</v>
      </c>
      <c r="F915" s="8" t="s">
        <v>5677</v>
      </c>
      <c r="G915" s="6" t="s">
        <v>83</v>
      </c>
      <c r="H915" s="6" t="s">
        <v>38</v>
      </c>
      <c r="I915" s="8" t="s">
        <v>205</v>
      </c>
      <c r="J915" s="9">
        <v>1</v>
      </c>
      <c r="K915" s="9">
        <v>368</v>
      </c>
      <c r="L915" s="9">
        <v>2023</v>
      </c>
      <c r="M915" s="8" t="s">
        <v>5678</v>
      </c>
      <c r="N915" s="8" t="s">
        <v>74</v>
      </c>
      <c r="O915" s="8" t="s">
        <v>75</v>
      </c>
      <c r="P915" s="6" t="s">
        <v>176</v>
      </c>
      <c r="Q915" s="8" t="s">
        <v>207</v>
      </c>
      <c r="R915" s="10" t="s">
        <v>2843</v>
      </c>
      <c r="S915" s="11" t="s">
        <v>5679</v>
      </c>
      <c r="T915" s="6"/>
      <c r="U915" s="28" t="str">
        <f>HYPERLINK("https://media.infra-m.ru/1933/1933149/cover/1933149.jpg", "Обложка")</f>
        <v>Обложка</v>
      </c>
      <c r="V915" s="28" t="str">
        <f>HYPERLINK("https://znanium.ru/catalog/product/1776329", "Ознакомиться")</f>
        <v>Ознакомиться</v>
      </c>
      <c r="W915" s="8"/>
      <c r="X915" s="6"/>
      <c r="Y915" s="6"/>
      <c r="Z915" s="6"/>
      <c r="AA915" s="6" t="s">
        <v>5680</v>
      </c>
    </row>
    <row r="916" spans="1:27" s="4" customFormat="1" ht="51.95" customHeight="1">
      <c r="A916" s="5">
        <v>0</v>
      </c>
      <c r="B916" s="6" t="s">
        <v>5681</v>
      </c>
      <c r="C916" s="7">
        <v>1124.9000000000001</v>
      </c>
      <c r="D916" s="8" t="s">
        <v>5682</v>
      </c>
      <c r="E916" s="8" t="s">
        <v>5683</v>
      </c>
      <c r="F916" s="8" t="s">
        <v>5684</v>
      </c>
      <c r="G916" s="6" t="s">
        <v>83</v>
      </c>
      <c r="H916" s="6" t="s">
        <v>38</v>
      </c>
      <c r="I916" s="8" t="s">
        <v>164</v>
      </c>
      <c r="J916" s="9">
        <v>1</v>
      </c>
      <c r="K916" s="9">
        <v>240</v>
      </c>
      <c r="L916" s="9">
        <v>2023</v>
      </c>
      <c r="M916" s="8" t="s">
        <v>5685</v>
      </c>
      <c r="N916" s="8" t="s">
        <v>74</v>
      </c>
      <c r="O916" s="8" t="s">
        <v>75</v>
      </c>
      <c r="P916" s="6" t="s">
        <v>176</v>
      </c>
      <c r="Q916" s="8" t="s">
        <v>56</v>
      </c>
      <c r="R916" s="10" t="s">
        <v>5686</v>
      </c>
      <c r="S916" s="11" t="s">
        <v>5687</v>
      </c>
      <c r="T916" s="6"/>
      <c r="U916" s="28" t="str">
        <f>HYPERLINK("https://media.infra-m.ru/1998/1998849/cover/1998849.jpg", "Обложка")</f>
        <v>Обложка</v>
      </c>
      <c r="V916" s="28" t="str">
        <f>HYPERLINK("https://znanium.ru/catalog/product/1043836", "Ознакомиться")</f>
        <v>Ознакомиться</v>
      </c>
      <c r="W916" s="8" t="s">
        <v>3098</v>
      </c>
      <c r="X916" s="6"/>
      <c r="Y916" s="6"/>
      <c r="Z916" s="6"/>
      <c r="AA916" s="6" t="s">
        <v>2727</v>
      </c>
    </row>
    <row r="917" spans="1:27" s="4" customFormat="1" ht="51.95" customHeight="1">
      <c r="A917" s="5">
        <v>0</v>
      </c>
      <c r="B917" s="6" t="s">
        <v>5688</v>
      </c>
      <c r="C917" s="7">
        <v>1110</v>
      </c>
      <c r="D917" s="8" t="s">
        <v>5689</v>
      </c>
      <c r="E917" s="8" t="s">
        <v>5683</v>
      </c>
      <c r="F917" s="8" t="s">
        <v>5684</v>
      </c>
      <c r="G917" s="6" t="s">
        <v>83</v>
      </c>
      <c r="H917" s="6" t="s">
        <v>38</v>
      </c>
      <c r="I917" s="8" t="s">
        <v>205</v>
      </c>
      <c r="J917" s="9">
        <v>1</v>
      </c>
      <c r="K917" s="9">
        <v>240</v>
      </c>
      <c r="L917" s="9">
        <v>2024</v>
      </c>
      <c r="M917" s="8" t="s">
        <v>5690</v>
      </c>
      <c r="N917" s="8" t="s">
        <v>74</v>
      </c>
      <c r="O917" s="8" t="s">
        <v>75</v>
      </c>
      <c r="P917" s="6" t="s">
        <v>176</v>
      </c>
      <c r="Q917" s="8" t="s">
        <v>207</v>
      </c>
      <c r="R917" s="10" t="s">
        <v>5691</v>
      </c>
      <c r="S917" s="11" t="s">
        <v>5692</v>
      </c>
      <c r="T917" s="6"/>
      <c r="U917" s="28" t="str">
        <f>HYPERLINK("https://media.infra-m.ru/2132/2132079/cover/2132079.jpg", "Обложка")</f>
        <v>Обложка</v>
      </c>
      <c r="V917" s="28" t="str">
        <f>HYPERLINK("https://znanium.ru/catalog/product/2132079", "Ознакомиться")</f>
        <v>Ознакомиться</v>
      </c>
      <c r="W917" s="8" t="s">
        <v>3098</v>
      </c>
      <c r="X917" s="6"/>
      <c r="Y917" s="6"/>
      <c r="Z917" s="6" t="s">
        <v>235</v>
      </c>
      <c r="AA917" s="6" t="s">
        <v>150</v>
      </c>
    </row>
    <row r="918" spans="1:27" s="4" customFormat="1" ht="51.95" customHeight="1">
      <c r="A918" s="5">
        <v>0</v>
      </c>
      <c r="B918" s="6" t="s">
        <v>5693</v>
      </c>
      <c r="C918" s="13">
        <v>644.9</v>
      </c>
      <c r="D918" s="8" t="s">
        <v>5694</v>
      </c>
      <c r="E918" s="8" t="s">
        <v>5695</v>
      </c>
      <c r="F918" s="8" t="s">
        <v>5696</v>
      </c>
      <c r="G918" s="6" t="s">
        <v>83</v>
      </c>
      <c r="H918" s="6" t="s">
        <v>1701</v>
      </c>
      <c r="I918" s="8" t="s">
        <v>492</v>
      </c>
      <c r="J918" s="9">
        <v>1</v>
      </c>
      <c r="K918" s="9">
        <v>144</v>
      </c>
      <c r="L918" s="9">
        <v>2022</v>
      </c>
      <c r="M918" s="8" t="s">
        <v>5697</v>
      </c>
      <c r="N918" s="8" t="s">
        <v>74</v>
      </c>
      <c r="O918" s="8" t="s">
        <v>75</v>
      </c>
      <c r="P918" s="6" t="s">
        <v>55</v>
      </c>
      <c r="Q918" s="8" t="s">
        <v>207</v>
      </c>
      <c r="R918" s="10" t="s">
        <v>5698</v>
      </c>
      <c r="S918" s="11" t="s">
        <v>5699</v>
      </c>
      <c r="T918" s="6"/>
      <c r="U918" s="28" t="str">
        <f>HYPERLINK("https://media.infra-m.ru/1952/1952045/cover/1952045.jpg", "Обложка")</f>
        <v>Обложка</v>
      </c>
      <c r="V918" s="28" t="str">
        <f>HYPERLINK("https://znanium.ru/catalog/product/1915889", "Ознакомиться")</f>
        <v>Ознакомиться</v>
      </c>
      <c r="W918" s="8" t="s">
        <v>5700</v>
      </c>
      <c r="X918" s="6"/>
      <c r="Y918" s="6" t="s">
        <v>30</v>
      </c>
      <c r="Z918" s="6"/>
      <c r="AA918" s="6" t="s">
        <v>274</v>
      </c>
    </row>
    <row r="919" spans="1:27" s="4" customFormat="1" ht="51.95" customHeight="1">
      <c r="A919" s="5">
        <v>0</v>
      </c>
      <c r="B919" s="6" t="s">
        <v>5701</v>
      </c>
      <c r="C919" s="13">
        <v>790</v>
      </c>
      <c r="D919" s="8" t="s">
        <v>5702</v>
      </c>
      <c r="E919" s="8" t="s">
        <v>5695</v>
      </c>
      <c r="F919" s="8" t="s">
        <v>5703</v>
      </c>
      <c r="G919" s="6" t="s">
        <v>83</v>
      </c>
      <c r="H919" s="6" t="s">
        <v>317</v>
      </c>
      <c r="I919" s="8" t="s">
        <v>492</v>
      </c>
      <c r="J919" s="9">
        <v>1</v>
      </c>
      <c r="K919" s="9">
        <v>170</v>
      </c>
      <c r="L919" s="9">
        <v>2022</v>
      </c>
      <c r="M919" s="8" t="s">
        <v>5704</v>
      </c>
      <c r="N919" s="8" t="s">
        <v>74</v>
      </c>
      <c r="O919" s="8" t="s">
        <v>75</v>
      </c>
      <c r="P919" s="6" t="s">
        <v>55</v>
      </c>
      <c r="Q919" s="8" t="s">
        <v>207</v>
      </c>
      <c r="R919" s="10" t="s">
        <v>5705</v>
      </c>
      <c r="S919" s="11"/>
      <c r="T919" s="6"/>
      <c r="U919" s="28" t="str">
        <f>HYPERLINK("https://media.infra-m.ru/1841/1841657/cover/1841657.jpg", "Обложка")</f>
        <v>Обложка</v>
      </c>
      <c r="V919" s="28" t="str">
        <f>HYPERLINK("https://znanium.ru/catalog/product/1841657", "Ознакомиться")</f>
        <v>Ознакомиться</v>
      </c>
      <c r="W919" s="8" t="s">
        <v>2280</v>
      </c>
      <c r="X919" s="6"/>
      <c r="Y919" s="6"/>
      <c r="Z919" s="6" t="s">
        <v>235</v>
      </c>
      <c r="AA919" s="6" t="s">
        <v>141</v>
      </c>
    </row>
    <row r="920" spans="1:27" s="4" customFormat="1" ht="51.95" customHeight="1">
      <c r="A920" s="5">
        <v>0</v>
      </c>
      <c r="B920" s="6" t="s">
        <v>5706</v>
      </c>
      <c r="C920" s="13">
        <v>774</v>
      </c>
      <c r="D920" s="8" t="s">
        <v>5707</v>
      </c>
      <c r="E920" s="8" t="s">
        <v>5683</v>
      </c>
      <c r="F920" s="8" t="s">
        <v>5703</v>
      </c>
      <c r="G920" s="6" t="s">
        <v>123</v>
      </c>
      <c r="H920" s="6" t="s">
        <v>317</v>
      </c>
      <c r="I920" s="8" t="s">
        <v>155</v>
      </c>
      <c r="J920" s="9">
        <v>1</v>
      </c>
      <c r="K920" s="9">
        <v>168</v>
      </c>
      <c r="L920" s="9">
        <v>2024</v>
      </c>
      <c r="M920" s="8" t="s">
        <v>5708</v>
      </c>
      <c r="N920" s="8" t="s">
        <v>74</v>
      </c>
      <c r="O920" s="8" t="s">
        <v>75</v>
      </c>
      <c r="P920" s="6" t="s">
        <v>55</v>
      </c>
      <c r="Q920" s="8" t="s">
        <v>177</v>
      </c>
      <c r="R920" s="10" t="s">
        <v>5647</v>
      </c>
      <c r="S920" s="11" t="s">
        <v>5709</v>
      </c>
      <c r="T920" s="6"/>
      <c r="U920" s="28" t="str">
        <f>HYPERLINK("https://media.infra-m.ru/1841/1841697/cover/1841697.jpg", "Обложка")</f>
        <v>Обложка</v>
      </c>
      <c r="V920" s="28" t="str">
        <f>HYPERLINK("https://znanium.ru/catalog/product/1090565", "Ознакомиться")</f>
        <v>Ознакомиться</v>
      </c>
      <c r="W920" s="8" t="s">
        <v>2280</v>
      </c>
      <c r="X920" s="6"/>
      <c r="Y920" s="6"/>
      <c r="Z920" s="6"/>
      <c r="AA920" s="6" t="s">
        <v>1217</v>
      </c>
    </row>
    <row r="921" spans="1:27" s="4" customFormat="1" ht="42" customHeight="1">
      <c r="A921" s="5">
        <v>0</v>
      </c>
      <c r="B921" s="6" t="s">
        <v>5710</v>
      </c>
      <c r="C921" s="7">
        <v>1750</v>
      </c>
      <c r="D921" s="8" t="s">
        <v>5711</v>
      </c>
      <c r="E921" s="8" t="s">
        <v>5712</v>
      </c>
      <c r="F921" s="8" t="s">
        <v>5713</v>
      </c>
      <c r="G921" s="6" t="s">
        <v>83</v>
      </c>
      <c r="H921" s="6" t="s">
        <v>38</v>
      </c>
      <c r="I921" s="8" t="s">
        <v>155</v>
      </c>
      <c r="J921" s="9">
        <v>1</v>
      </c>
      <c r="K921" s="9">
        <v>373</v>
      </c>
      <c r="L921" s="9">
        <v>2024</v>
      </c>
      <c r="M921" s="8" t="s">
        <v>5714</v>
      </c>
      <c r="N921" s="8" t="s">
        <v>74</v>
      </c>
      <c r="O921" s="8" t="s">
        <v>75</v>
      </c>
      <c r="P921" s="6" t="s">
        <v>176</v>
      </c>
      <c r="Q921" s="8" t="s">
        <v>177</v>
      </c>
      <c r="R921" s="10" t="s">
        <v>5715</v>
      </c>
      <c r="S921" s="11"/>
      <c r="T921" s="6"/>
      <c r="U921" s="28" t="str">
        <f>HYPERLINK("https://media.infra-m.ru/2131/2131190/cover/2131190.jpg", "Обложка")</f>
        <v>Обложка</v>
      </c>
      <c r="V921" s="28" t="str">
        <f>HYPERLINK("https://znanium.ru/catalog/product/2131190", "Ознакомиться")</f>
        <v>Ознакомиться</v>
      </c>
      <c r="W921" s="8" t="s">
        <v>5716</v>
      </c>
      <c r="X921" s="6"/>
      <c r="Y921" s="6"/>
      <c r="Z921" s="6"/>
      <c r="AA921" s="6" t="s">
        <v>111</v>
      </c>
    </row>
    <row r="922" spans="1:27" s="4" customFormat="1" ht="51.95" customHeight="1">
      <c r="A922" s="5">
        <v>0</v>
      </c>
      <c r="B922" s="6" t="s">
        <v>5717</v>
      </c>
      <c r="C922" s="13">
        <v>544.9</v>
      </c>
      <c r="D922" s="8" t="s">
        <v>5718</v>
      </c>
      <c r="E922" s="8" t="s">
        <v>5695</v>
      </c>
      <c r="F922" s="8" t="s">
        <v>5684</v>
      </c>
      <c r="G922" s="6" t="s">
        <v>37</v>
      </c>
      <c r="H922" s="6" t="s">
        <v>317</v>
      </c>
      <c r="I922" s="8" t="s">
        <v>5719</v>
      </c>
      <c r="J922" s="9">
        <v>1</v>
      </c>
      <c r="K922" s="9">
        <v>160</v>
      </c>
      <c r="L922" s="9">
        <v>2020</v>
      </c>
      <c r="M922" s="8" t="s">
        <v>5720</v>
      </c>
      <c r="N922" s="8" t="s">
        <v>74</v>
      </c>
      <c r="O922" s="8" t="s">
        <v>75</v>
      </c>
      <c r="P922" s="6" t="s">
        <v>55</v>
      </c>
      <c r="Q922" s="8" t="s">
        <v>56</v>
      </c>
      <c r="R922" s="10" t="s">
        <v>5721</v>
      </c>
      <c r="S922" s="11" t="s">
        <v>5722</v>
      </c>
      <c r="T922" s="6"/>
      <c r="U922" s="28" t="str">
        <f>HYPERLINK("https://media.infra-m.ru/1094/1094539/cover/1094539.jpg", "Обложка")</f>
        <v>Обложка</v>
      </c>
      <c r="V922" s="28" t="str">
        <f>HYPERLINK("https://znanium.ru/catalog/product/534854", "Ознакомиться")</f>
        <v>Ознакомиться</v>
      </c>
      <c r="W922" s="8" t="s">
        <v>3098</v>
      </c>
      <c r="X922" s="6"/>
      <c r="Y922" s="6"/>
      <c r="Z922" s="6"/>
      <c r="AA922" s="6" t="s">
        <v>274</v>
      </c>
    </row>
    <row r="923" spans="1:27" s="4" customFormat="1" ht="51.95" customHeight="1">
      <c r="A923" s="5">
        <v>0</v>
      </c>
      <c r="B923" s="6" t="s">
        <v>5723</v>
      </c>
      <c r="C923" s="13">
        <v>900</v>
      </c>
      <c r="D923" s="8" t="s">
        <v>5724</v>
      </c>
      <c r="E923" s="8" t="s">
        <v>5725</v>
      </c>
      <c r="F923" s="8" t="s">
        <v>5726</v>
      </c>
      <c r="G923" s="6" t="s">
        <v>83</v>
      </c>
      <c r="H923" s="6" t="s">
        <v>38</v>
      </c>
      <c r="I923" s="8" t="s">
        <v>205</v>
      </c>
      <c r="J923" s="9">
        <v>1</v>
      </c>
      <c r="K923" s="9">
        <v>195</v>
      </c>
      <c r="L923" s="9">
        <v>2024</v>
      </c>
      <c r="M923" s="8" t="s">
        <v>5727</v>
      </c>
      <c r="N923" s="8" t="s">
        <v>74</v>
      </c>
      <c r="O923" s="8" t="s">
        <v>75</v>
      </c>
      <c r="P923" s="6" t="s">
        <v>55</v>
      </c>
      <c r="Q923" s="8" t="s">
        <v>207</v>
      </c>
      <c r="R923" s="10" t="s">
        <v>5728</v>
      </c>
      <c r="S923" s="11" t="s">
        <v>5729</v>
      </c>
      <c r="T923" s="6"/>
      <c r="U923" s="28" t="str">
        <f>HYPERLINK("https://media.infra-m.ru/2128/2128446/cover/2128446.jpg", "Обложка")</f>
        <v>Обложка</v>
      </c>
      <c r="V923" s="28" t="str">
        <f>HYPERLINK("https://znanium.ru/catalog/product/2128446", "Ознакомиться")</f>
        <v>Ознакомиться</v>
      </c>
      <c r="W923" s="8" t="s">
        <v>409</v>
      </c>
      <c r="X923" s="6"/>
      <c r="Y923" s="6"/>
      <c r="Z923" s="6"/>
      <c r="AA923" s="6" t="s">
        <v>78</v>
      </c>
    </row>
    <row r="924" spans="1:27" s="4" customFormat="1" ht="51.95" customHeight="1">
      <c r="A924" s="5">
        <v>0</v>
      </c>
      <c r="B924" s="6" t="s">
        <v>5730</v>
      </c>
      <c r="C924" s="7">
        <v>1670</v>
      </c>
      <c r="D924" s="8" t="s">
        <v>5731</v>
      </c>
      <c r="E924" s="8" t="s">
        <v>5725</v>
      </c>
      <c r="F924" s="8" t="s">
        <v>5726</v>
      </c>
      <c r="G924" s="6" t="s">
        <v>83</v>
      </c>
      <c r="H924" s="6" t="s">
        <v>38</v>
      </c>
      <c r="I924" s="8" t="s">
        <v>205</v>
      </c>
      <c r="J924" s="9">
        <v>1</v>
      </c>
      <c r="K924" s="9">
        <v>363</v>
      </c>
      <c r="L924" s="9">
        <v>2024</v>
      </c>
      <c r="M924" s="8" t="s">
        <v>5732</v>
      </c>
      <c r="N924" s="8" t="s">
        <v>74</v>
      </c>
      <c r="O924" s="8" t="s">
        <v>75</v>
      </c>
      <c r="P924" s="6" t="s">
        <v>176</v>
      </c>
      <c r="Q924" s="8" t="s">
        <v>207</v>
      </c>
      <c r="R924" s="10" t="s">
        <v>3096</v>
      </c>
      <c r="S924" s="11" t="s">
        <v>5733</v>
      </c>
      <c r="T924" s="6"/>
      <c r="U924" s="28" t="str">
        <f>HYPERLINK("https://media.infra-m.ru/2075/2075105/cover/2075105.jpg", "Обложка")</f>
        <v>Обложка</v>
      </c>
      <c r="V924" s="28" t="str">
        <f>HYPERLINK("https://znanium.ru/catalog/product/2075105", "Ознакомиться")</f>
        <v>Ознакомиться</v>
      </c>
      <c r="W924" s="8" t="s">
        <v>409</v>
      </c>
      <c r="X924" s="6"/>
      <c r="Y924" s="6"/>
      <c r="Z924" s="6"/>
      <c r="AA924" s="6" t="s">
        <v>78</v>
      </c>
    </row>
    <row r="925" spans="1:27" s="4" customFormat="1" ht="51.95" customHeight="1">
      <c r="A925" s="5">
        <v>0</v>
      </c>
      <c r="B925" s="6" t="s">
        <v>5734</v>
      </c>
      <c r="C925" s="7">
        <v>2260</v>
      </c>
      <c r="D925" s="8" t="s">
        <v>5735</v>
      </c>
      <c r="E925" s="8" t="s">
        <v>5725</v>
      </c>
      <c r="F925" s="8" t="s">
        <v>5736</v>
      </c>
      <c r="G925" s="6" t="s">
        <v>123</v>
      </c>
      <c r="H925" s="6" t="s">
        <v>38</v>
      </c>
      <c r="I925" s="8" t="s">
        <v>205</v>
      </c>
      <c r="J925" s="9">
        <v>1</v>
      </c>
      <c r="K925" s="9">
        <v>491</v>
      </c>
      <c r="L925" s="9">
        <v>2024</v>
      </c>
      <c r="M925" s="8" t="s">
        <v>5737</v>
      </c>
      <c r="N925" s="8" t="s">
        <v>74</v>
      </c>
      <c r="O925" s="8" t="s">
        <v>75</v>
      </c>
      <c r="P925" s="6" t="s">
        <v>176</v>
      </c>
      <c r="Q925" s="8" t="s">
        <v>207</v>
      </c>
      <c r="R925" s="10" t="s">
        <v>3096</v>
      </c>
      <c r="S925" s="11" t="s">
        <v>4481</v>
      </c>
      <c r="T925" s="6"/>
      <c r="U925" s="28" t="str">
        <f>HYPERLINK("https://media.infra-m.ru/2115/2115755/cover/2115755.jpg", "Обложка")</f>
        <v>Обложка</v>
      </c>
      <c r="V925" s="28" t="str">
        <f>HYPERLINK("https://znanium.ru/catalog/product/2115755", "Ознакомиться")</f>
        <v>Ознакомиться</v>
      </c>
      <c r="W925" s="8" t="s">
        <v>58</v>
      </c>
      <c r="X925" s="6"/>
      <c r="Y925" s="6"/>
      <c r="Z925" s="6"/>
      <c r="AA925" s="6" t="s">
        <v>78</v>
      </c>
    </row>
    <row r="926" spans="1:27" s="4" customFormat="1" ht="42" customHeight="1">
      <c r="A926" s="5">
        <v>0</v>
      </c>
      <c r="B926" s="6" t="s">
        <v>5738</v>
      </c>
      <c r="C926" s="7">
        <v>1140</v>
      </c>
      <c r="D926" s="8" t="s">
        <v>5739</v>
      </c>
      <c r="E926" s="8" t="s">
        <v>5740</v>
      </c>
      <c r="F926" s="8" t="s">
        <v>5741</v>
      </c>
      <c r="G926" s="6" t="s">
        <v>83</v>
      </c>
      <c r="H926" s="6" t="s">
        <v>38</v>
      </c>
      <c r="I926" s="8" t="s">
        <v>39</v>
      </c>
      <c r="J926" s="9">
        <v>1</v>
      </c>
      <c r="K926" s="9">
        <v>247</v>
      </c>
      <c r="L926" s="9">
        <v>2023</v>
      </c>
      <c r="M926" s="8" t="s">
        <v>5742</v>
      </c>
      <c r="N926" s="8" t="s">
        <v>74</v>
      </c>
      <c r="O926" s="8" t="s">
        <v>75</v>
      </c>
      <c r="P926" s="6" t="s">
        <v>43</v>
      </c>
      <c r="Q926" s="8" t="s">
        <v>44</v>
      </c>
      <c r="R926" s="10" t="s">
        <v>5743</v>
      </c>
      <c r="S926" s="11"/>
      <c r="T926" s="6"/>
      <c r="U926" s="28" t="str">
        <f>HYPERLINK("https://media.infra-m.ru/2110/2110071/cover/2110071.jpg", "Обложка")</f>
        <v>Обложка</v>
      </c>
      <c r="V926" s="28" t="str">
        <f>HYPERLINK("https://znanium.ru/catalog/product/2110071", "Ознакомиться")</f>
        <v>Ознакомиться</v>
      </c>
      <c r="W926" s="8" t="s">
        <v>5700</v>
      </c>
      <c r="X926" s="6"/>
      <c r="Y926" s="6"/>
      <c r="Z926" s="6"/>
      <c r="AA926" s="6" t="s">
        <v>78</v>
      </c>
    </row>
    <row r="927" spans="1:27" s="4" customFormat="1" ht="51.95" customHeight="1">
      <c r="A927" s="5">
        <v>0</v>
      </c>
      <c r="B927" s="6" t="s">
        <v>5744</v>
      </c>
      <c r="C927" s="13">
        <v>990</v>
      </c>
      <c r="D927" s="8" t="s">
        <v>5745</v>
      </c>
      <c r="E927" s="8" t="s">
        <v>5746</v>
      </c>
      <c r="F927" s="8" t="s">
        <v>5747</v>
      </c>
      <c r="G927" s="6" t="s">
        <v>83</v>
      </c>
      <c r="H927" s="6" t="s">
        <v>38</v>
      </c>
      <c r="I927" s="8" t="s">
        <v>205</v>
      </c>
      <c r="J927" s="9">
        <v>1</v>
      </c>
      <c r="K927" s="9">
        <v>215</v>
      </c>
      <c r="L927" s="9">
        <v>2024</v>
      </c>
      <c r="M927" s="8" t="s">
        <v>5748</v>
      </c>
      <c r="N927" s="8" t="s">
        <v>74</v>
      </c>
      <c r="O927" s="8" t="s">
        <v>75</v>
      </c>
      <c r="P927" s="6" t="s">
        <v>55</v>
      </c>
      <c r="Q927" s="8" t="s">
        <v>207</v>
      </c>
      <c r="R927" s="10" t="s">
        <v>2843</v>
      </c>
      <c r="S927" s="11" t="s">
        <v>5749</v>
      </c>
      <c r="T927" s="6"/>
      <c r="U927" s="28" t="str">
        <f>HYPERLINK("https://media.infra-m.ru/2127/2127878/cover/2127878.jpg", "Обложка")</f>
        <v>Обложка</v>
      </c>
      <c r="V927" s="28" t="str">
        <f>HYPERLINK("https://znanium.ru/catalog/product/2127878", "Ознакомиться")</f>
        <v>Ознакомиться</v>
      </c>
      <c r="W927" s="8" t="s">
        <v>900</v>
      </c>
      <c r="X927" s="6"/>
      <c r="Y927" s="6"/>
      <c r="Z927" s="6"/>
      <c r="AA927" s="6" t="s">
        <v>193</v>
      </c>
    </row>
    <row r="928" spans="1:27" s="4" customFormat="1" ht="51.95" customHeight="1">
      <c r="A928" s="5">
        <v>0</v>
      </c>
      <c r="B928" s="6" t="s">
        <v>5750</v>
      </c>
      <c r="C928" s="7">
        <v>1650</v>
      </c>
      <c r="D928" s="8" t="s">
        <v>5751</v>
      </c>
      <c r="E928" s="8" t="s">
        <v>5752</v>
      </c>
      <c r="F928" s="8" t="s">
        <v>5753</v>
      </c>
      <c r="G928" s="6" t="s">
        <v>83</v>
      </c>
      <c r="H928" s="6" t="s">
        <v>630</v>
      </c>
      <c r="I928" s="8"/>
      <c r="J928" s="9">
        <v>1</v>
      </c>
      <c r="K928" s="9">
        <v>360</v>
      </c>
      <c r="L928" s="9">
        <v>2023</v>
      </c>
      <c r="M928" s="8" t="s">
        <v>5754</v>
      </c>
      <c r="N928" s="8" t="s">
        <v>74</v>
      </c>
      <c r="O928" s="8" t="s">
        <v>394</v>
      </c>
      <c r="P928" s="6" t="s">
        <v>55</v>
      </c>
      <c r="Q928" s="8" t="s">
        <v>56</v>
      </c>
      <c r="R928" s="10" t="s">
        <v>5755</v>
      </c>
      <c r="S928" s="11" t="s">
        <v>5756</v>
      </c>
      <c r="T928" s="6"/>
      <c r="U928" s="28" t="str">
        <f>HYPERLINK("https://media.infra-m.ru/1898/1898482/cover/1898482.jpg", "Обложка")</f>
        <v>Обложка</v>
      </c>
      <c r="V928" s="28" t="str">
        <f>HYPERLINK("https://znanium.ru/catalog/product/1898482", "Ознакомиться")</f>
        <v>Ознакомиться</v>
      </c>
      <c r="W928" s="8"/>
      <c r="X928" s="6"/>
      <c r="Y928" s="6"/>
      <c r="Z928" s="6"/>
      <c r="AA928" s="6" t="s">
        <v>47</v>
      </c>
    </row>
    <row r="929" spans="1:27" s="4" customFormat="1" ht="51.95" customHeight="1">
      <c r="A929" s="5">
        <v>0</v>
      </c>
      <c r="B929" s="6" t="s">
        <v>5757</v>
      </c>
      <c r="C929" s="7">
        <v>1160</v>
      </c>
      <c r="D929" s="8" t="s">
        <v>5758</v>
      </c>
      <c r="E929" s="8" t="s">
        <v>5759</v>
      </c>
      <c r="F929" s="8" t="s">
        <v>5760</v>
      </c>
      <c r="G929" s="6" t="s">
        <v>83</v>
      </c>
      <c r="H929" s="6" t="s">
        <v>38</v>
      </c>
      <c r="I929" s="8" t="s">
        <v>500</v>
      </c>
      <c r="J929" s="9">
        <v>1</v>
      </c>
      <c r="K929" s="9">
        <v>257</v>
      </c>
      <c r="L929" s="9">
        <v>2023</v>
      </c>
      <c r="M929" s="8" t="s">
        <v>5761</v>
      </c>
      <c r="N929" s="8" t="s">
        <v>74</v>
      </c>
      <c r="O929" s="8" t="s">
        <v>394</v>
      </c>
      <c r="P929" s="6" t="s">
        <v>55</v>
      </c>
      <c r="Q929" s="8" t="s">
        <v>177</v>
      </c>
      <c r="R929" s="10" t="s">
        <v>5762</v>
      </c>
      <c r="S929" s="11" t="s">
        <v>5763</v>
      </c>
      <c r="T929" s="6"/>
      <c r="U929" s="28" t="str">
        <f>HYPERLINK("https://media.infra-m.ru/1995/1995391/cover/1995391.jpg", "Обложка")</f>
        <v>Обложка</v>
      </c>
      <c r="V929" s="12"/>
      <c r="W929" s="8" t="s">
        <v>5764</v>
      </c>
      <c r="X929" s="6"/>
      <c r="Y929" s="6"/>
      <c r="Z929" s="6"/>
      <c r="AA929" s="6" t="s">
        <v>68</v>
      </c>
    </row>
    <row r="930" spans="1:27" s="4" customFormat="1" ht="44.1" customHeight="1">
      <c r="A930" s="5">
        <v>0</v>
      </c>
      <c r="B930" s="6" t="s">
        <v>5765</v>
      </c>
      <c r="C930" s="13">
        <v>370</v>
      </c>
      <c r="D930" s="8" t="s">
        <v>5766</v>
      </c>
      <c r="E930" s="8" t="s">
        <v>5767</v>
      </c>
      <c r="F930" s="8" t="s">
        <v>5768</v>
      </c>
      <c r="G930" s="6" t="s">
        <v>37</v>
      </c>
      <c r="H930" s="6" t="s">
        <v>38</v>
      </c>
      <c r="I930" s="8" t="s">
        <v>39</v>
      </c>
      <c r="J930" s="9">
        <v>1</v>
      </c>
      <c r="K930" s="9">
        <v>100</v>
      </c>
      <c r="L930" s="9">
        <v>2021</v>
      </c>
      <c r="M930" s="8" t="s">
        <v>5769</v>
      </c>
      <c r="N930" s="8" t="s">
        <v>41</v>
      </c>
      <c r="O930" s="8" t="s">
        <v>65</v>
      </c>
      <c r="P930" s="6" t="s">
        <v>43</v>
      </c>
      <c r="Q930" s="8" t="s">
        <v>44</v>
      </c>
      <c r="R930" s="10" t="s">
        <v>428</v>
      </c>
      <c r="S930" s="11"/>
      <c r="T930" s="6"/>
      <c r="U930" s="28" t="str">
        <f>HYPERLINK("https://media.infra-m.ru/1216/1216469/cover/1216469.jpg", "Обложка")</f>
        <v>Обложка</v>
      </c>
      <c r="V930" s="28" t="str">
        <f>HYPERLINK("https://znanium.ru/catalog/product/1216469", "Ознакомиться")</f>
        <v>Ознакомиться</v>
      </c>
      <c r="W930" s="8" t="s">
        <v>1005</v>
      </c>
      <c r="X930" s="6"/>
      <c r="Y930" s="6"/>
      <c r="Z930" s="6"/>
      <c r="AA930" s="6" t="s">
        <v>96</v>
      </c>
    </row>
    <row r="931" spans="1:27" s="4" customFormat="1" ht="42" customHeight="1">
      <c r="A931" s="5">
        <v>0</v>
      </c>
      <c r="B931" s="6" t="s">
        <v>5770</v>
      </c>
      <c r="C931" s="13">
        <v>950</v>
      </c>
      <c r="D931" s="8" t="s">
        <v>5771</v>
      </c>
      <c r="E931" s="8" t="s">
        <v>5772</v>
      </c>
      <c r="F931" s="8" t="s">
        <v>2443</v>
      </c>
      <c r="G931" s="6" t="s">
        <v>37</v>
      </c>
      <c r="H931" s="6" t="s">
        <v>38</v>
      </c>
      <c r="I931" s="8" t="s">
        <v>39</v>
      </c>
      <c r="J931" s="9">
        <v>1</v>
      </c>
      <c r="K931" s="9">
        <v>210</v>
      </c>
      <c r="L931" s="9">
        <v>2023</v>
      </c>
      <c r="M931" s="8" t="s">
        <v>5773</v>
      </c>
      <c r="N931" s="8" t="s">
        <v>41</v>
      </c>
      <c r="O931" s="8" t="s">
        <v>65</v>
      </c>
      <c r="P931" s="6" t="s">
        <v>43</v>
      </c>
      <c r="Q931" s="8" t="s">
        <v>44</v>
      </c>
      <c r="R931" s="10" t="s">
        <v>5774</v>
      </c>
      <c r="S931" s="11"/>
      <c r="T931" s="6"/>
      <c r="U931" s="28" t="str">
        <f>HYPERLINK("https://media.infra-m.ru/2021/2021419/cover/2021419.jpg", "Обложка")</f>
        <v>Обложка</v>
      </c>
      <c r="V931" s="28" t="str">
        <f>HYPERLINK("https://znanium.ru/catalog/product/2021419", "Ознакомиться")</f>
        <v>Ознакомиться</v>
      </c>
      <c r="W931" s="8" t="s">
        <v>2447</v>
      </c>
      <c r="X931" s="6"/>
      <c r="Y931" s="6"/>
      <c r="Z931" s="6"/>
      <c r="AA931" s="6" t="s">
        <v>68</v>
      </c>
    </row>
    <row r="932" spans="1:27" s="4" customFormat="1" ht="51.95" customHeight="1">
      <c r="A932" s="5">
        <v>0</v>
      </c>
      <c r="B932" s="6" t="s">
        <v>5775</v>
      </c>
      <c r="C932" s="7">
        <v>1800</v>
      </c>
      <c r="D932" s="8" t="s">
        <v>5776</v>
      </c>
      <c r="E932" s="8" t="s">
        <v>5777</v>
      </c>
      <c r="F932" s="8" t="s">
        <v>5778</v>
      </c>
      <c r="G932" s="6" t="s">
        <v>123</v>
      </c>
      <c r="H932" s="6" t="s">
        <v>38</v>
      </c>
      <c r="I932" s="8" t="s">
        <v>5779</v>
      </c>
      <c r="J932" s="9">
        <v>1</v>
      </c>
      <c r="K932" s="9">
        <v>376</v>
      </c>
      <c r="L932" s="9">
        <v>2023</v>
      </c>
      <c r="M932" s="8" t="s">
        <v>5780</v>
      </c>
      <c r="N932" s="8" t="s">
        <v>74</v>
      </c>
      <c r="O932" s="8" t="s">
        <v>394</v>
      </c>
      <c r="P932" s="6" t="s">
        <v>55</v>
      </c>
      <c r="Q932" s="8" t="s">
        <v>56</v>
      </c>
      <c r="R932" s="10" t="s">
        <v>5781</v>
      </c>
      <c r="S932" s="11" t="s">
        <v>5782</v>
      </c>
      <c r="T932" s="6"/>
      <c r="U932" s="28" t="str">
        <f>HYPERLINK("https://media.infra-m.ru/1910/1910646/cover/1910646.jpg", "Обложка")</f>
        <v>Обложка</v>
      </c>
      <c r="V932" s="28" t="str">
        <f>HYPERLINK("https://znanium.ru/catalog/product/1910646", "Ознакомиться")</f>
        <v>Ознакомиться</v>
      </c>
      <c r="W932" s="8" t="s">
        <v>4803</v>
      </c>
      <c r="X932" s="6"/>
      <c r="Y932" s="6"/>
      <c r="Z932" s="6"/>
      <c r="AA932" s="6" t="s">
        <v>111</v>
      </c>
    </row>
    <row r="933" spans="1:27" s="4" customFormat="1" ht="42" customHeight="1">
      <c r="A933" s="5">
        <v>0</v>
      </c>
      <c r="B933" s="6" t="s">
        <v>5783</v>
      </c>
      <c r="C933" s="7">
        <v>1830</v>
      </c>
      <c r="D933" s="8" t="s">
        <v>5784</v>
      </c>
      <c r="E933" s="8" t="s">
        <v>5785</v>
      </c>
      <c r="F933" s="8" t="s">
        <v>5786</v>
      </c>
      <c r="G933" s="6" t="s">
        <v>37</v>
      </c>
      <c r="H933" s="6" t="s">
        <v>630</v>
      </c>
      <c r="I933" s="8" t="s">
        <v>155</v>
      </c>
      <c r="J933" s="9">
        <v>1</v>
      </c>
      <c r="K933" s="9">
        <v>110</v>
      </c>
      <c r="L933" s="9">
        <v>2024</v>
      </c>
      <c r="M933" s="8" t="s">
        <v>5787</v>
      </c>
      <c r="N933" s="8" t="s">
        <v>74</v>
      </c>
      <c r="O933" s="8" t="s">
        <v>75</v>
      </c>
      <c r="P933" s="6" t="s">
        <v>55</v>
      </c>
      <c r="Q933" s="8" t="s">
        <v>56</v>
      </c>
      <c r="R933" s="10" t="s">
        <v>5788</v>
      </c>
      <c r="S933" s="11"/>
      <c r="T933" s="6"/>
      <c r="U933" s="28" t="str">
        <f>HYPERLINK("https://media.infra-m.ru/2082/2082767/cover/2082767.jpg", "Обложка")</f>
        <v>Обложка</v>
      </c>
      <c r="V933" s="28" t="str">
        <f>HYPERLINK("https://znanium.ru/catalog/product/2082767", "Ознакомиться")</f>
        <v>Ознакомиться</v>
      </c>
      <c r="W933" s="8" t="s">
        <v>3007</v>
      </c>
      <c r="X933" s="6"/>
      <c r="Y933" s="6"/>
      <c r="Z933" s="6"/>
      <c r="AA933" s="6" t="s">
        <v>68</v>
      </c>
    </row>
    <row r="934" spans="1:27" s="4" customFormat="1" ht="44.1" customHeight="1">
      <c r="A934" s="5">
        <v>0</v>
      </c>
      <c r="B934" s="6" t="s">
        <v>5789</v>
      </c>
      <c r="C934" s="13">
        <v>984</v>
      </c>
      <c r="D934" s="8" t="s">
        <v>5790</v>
      </c>
      <c r="E934" s="8" t="s">
        <v>5791</v>
      </c>
      <c r="F934" s="8" t="s">
        <v>5792</v>
      </c>
      <c r="G934" s="6" t="s">
        <v>37</v>
      </c>
      <c r="H934" s="6" t="s">
        <v>38</v>
      </c>
      <c r="I934" s="8" t="s">
        <v>39</v>
      </c>
      <c r="J934" s="9">
        <v>1</v>
      </c>
      <c r="K934" s="9">
        <v>210</v>
      </c>
      <c r="L934" s="9">
        <v>2024</v>
      </c>
      <c r="M934" s="8" t="s">
        <v>5793</v>
      </c>
      <c r="N934" s="8" t="s">
        <v>74</v>
      </c>
      <c r="O934" s="8" t="s">
        <v>109</v>
      </c>
      <c r="P934" s="6" t="s">
        <v>43</v>
      </c>
      <c r="Q934" s="8" t="s">
        <v>44</v>
      </c>
      <c r="R934" s="10" t="s">
        <v>5794</v>
      </c>
      <c r="S934" s="11"/>
      <c r="T934" s="6"/>
      <c r="U934" s="28" t="str">
        <f>HYPERLINK("https://media.infra-m.ru/2138/2138718/cover/2138718.jpg", "Обложка")</f>
        <v>Обложка</v>
      </c>
      <c r="V934" s="28" t="str">
        <f>HYPERLINK("https://znanium.ru/catalog/product/1912413", "Ознакомиться")</f>
        <v>Ознакомиться</v>
      </c>
      <c r="W934" s="8" t="s">
        <v>5795</v>
      </c>
      <c r="X934" s="6"/>
      <c r="Y934" s="6"/>
      <c r="Z934" s="6"/>
      <c r="AA934" s="6" t="s">
        <v>193</v>
      </c>
    </row>
    <row r="935" spans="1:27" s="4" customFormat="1" ht="51.95" customHeight="1">
      <c r="A935" s="5">
        <v>0</v>
      </c>
      <c r="B935" s="6" t="s">
        <v>5796</v>
      </c>
      <c r="C935" s="7">
        <v>1170</v>
      </c>
      <c r="D935" s="8" t="s">
        <v>5797</v>
      </c>
      <c r="E935" s="8" t="s">
        <v>5798</v>
      </c>
      <c r="F935" s="8" t="s">
        <v>1102</v>
      </c>
      <c r="G935" s="6" t="s">
        <v>37</v>
      </c>
      <c r="H935" s="6" t="s">
        <v>38</v>
      </c>
      <c r="I935" s="8" t="s">
        <v>39</v>
      </c>
      <c r="J935" s="9">
        <v>1</v>
      </c>
      <c r="K935" s="9">
        <v>300</v>
      </c>
      <c r="L935" s="9">
        <v>2022</v>
      </c>
      <c r="M935" s="8" t="s">
        <v>5799</v>
      </c>
      <c r="N935" s="8" t="s">
        <v>41</v>
      </c>
      <c r="O935" s="8" t="s">
        <v>65</v>
      </c>
      <c r="P935" s="6" t="s">
        <v>43</v>
      </c>
      <c r="Q935" s="8" t="s">
        <v>44</v>
      </c>
      <c r="R935" s="10" t="s">
        <v>5800</v>
      </c>
      <c r="S935" s="11"/>
      <c r="T935" s="6"/>
      <c r="U935" s="28" t="str">
        <f>HYPERLINK("https://media.infra-m.ru/1817/1817282/cover/1817282.jpg", "Обложка")</f>
        <v>Обложка</v>
      </c>
      <c r="V935" s="28" t="str">
        <f>HYPERLINK("https://znanium.ru/catalog/product/1817282", "Ознакомиться")</f>
        <v>Ознакомиться</v>
      </c>
      <c r="W935" s="8" t="s">
        <v>1105</v>
      </c>
      <c r="X935" s="6"/>
      <c r="Y935" s="6"/>
      <c r="Z935" s="6"/>
      <c r="AA935" s="6" t="s">
        <v>103</v>
      </c>
    </row>
    <row r="936" spans="1:27" s="4" customFormat="1" ht="51.95" customHeight="1">
      <c r="A936" s="5">
        <v>0</v>
      </c>
      <c r="B936" s="6" t="s">
        <v>5801</v>
      </c>
      <c r="C936" s="13">
        <v>990</v>
      </c>
      <c r="D936" s="8" t="s">
        <v>5802</v>
      </c>
      <c r="E936" s="8" t="s">
        <v>5803</v>
      </c>
      <c r="F936" s="8" t="s">
        <v>5804</v>
      </c>
      <c r="G936" s="6" t="s">
        <v>37</v>
      </c>
      <c r="H936" s="6" t="s">
        <v>38</v>
      </c>
      <c r="I936" s="8" t="s">
        <v>39</v>
      </c>
      <c r="J936" s="9">
        <v>1</v>
      </c>
      <c r="K936" s="9">
        <v>214</v>
      </c>
      <c r="L936" s="9">
        <v>2024</v>
      </c>
      <c r="M936" s="8" t="s">
        <v>5805</v>
      </c>
      <c r="N936" s="8" t="s">
        <v>41</v>
      </c>
      <c r="O936" s="8" t="s">
        <v>42</v>
      </c>
      <c r="P936" s="6" t="s">
        <v>43</v>
      </c>
      <c r="Q936" s="8" t="s">
        <v>44</v>
      </c>
      <c r="R936" s="10" t="s">
        <v>5806</v>
      </c>
      <c r="S936" s="11"/>
      <c r="T936" s="6"/>
      <c r="U936" s="28" t="str">
        <f>HYPERLINK("https://media.infra-m.ru/2119/2119941/cover/2119941.jpg", "Обложка")</f>
        <v>Обложка</v>
      </c>
      <c r="V936" s="28" t="str">
        <f>HYPERLINK("https://znanium.ru/catalog/product/2119941", "Ознакомиться")</f>
        <v>Ознакомиться</v>
      </c>
      <c r="W936" s="8" t="s">
        <v>363</v>
      </c>
      <c r="X936" s="6"/>
      <c r="Y936" s="6"/>
      <c r="Z936" s="6"/>
      <c r="AA936" s="6" t="s">
        <v>364</v>
      </c>
    </row>
    <row r="937" spans="1:27" s="4" customFormat="1" ht="42" customHeight="1">
      <c r="A937" s="5">
        <v>0</v>
      </c>
      <c r="B937" s="6" t="s">
        <v>5807</v>
      </c>
      <c r="C937" s="7">
        <v>1054</v>
      </c>
      <c r="D937" s="8" t="s">
        <v>5808</v>
      </c>
      <c r="E937" s="8" t="s">
        <v>5809</v>
      </c>
      <c r="F937" s="8" t="s">
        <v>5810</v>
      </c>
      <c r="G937" s="6" t="s">
        <v>123</v>
      </c>
      <c r="H937" s="6" t="s">
        <v>317</v>
      </c>
      <c r="I937" s="8"/>
      <c r="J937" s="9">
        <v>1</v>
      </c>
      <c r="K937" s="9">
        <v>224</v>
      </c>
      <c r="L937" s="9">
        <v>2024</v>
      </c>
      <c r="M937" s="8" t="s">
        <v>5811</v>
      </c>
      <c r="N937" s="8" t="s">
        <v>41</v>
      </c>
      <c r="O937" s="8" t="s">
        <v>65</v>
      </c>
      <c r="P937" s="6" t="s">
        <v>55</v>
      </c>
      <c r="Q937" s="8" t="s">
        <v>56</v>
      </c>
      <c r="R937" s="10" t="s">
        <v>5812</v>
      </c>
      <c r="S937" s="11"/>
      <c r="T937" s="6"/>
      <c r="U937" s="28" t="str">
        <f>HYPERLINK("https://media.infra-m.ru/2006/2006064/cover/2006064.jpg", "Обложка")</f>
        <v>Обложка</v>
      </c>
      <c r="V937" s="28" t="str">
        <f>HYPERLINK("https://znanium.ru/catalog/product/2006064", "Ознакомиться")</f>
        <v>Ознакомиться</v>
      </c>
      <c r="W937" s="8" t="s">
        <v>1841</v>
      </c>
      <c r="X937" s="6"/>
      <c r="Y937" s="6"/>
      <c r="Z937" s="6"/>
      <c r="AA937" s="6" t="s">
        <v>68</v>
      </c>
    </row>
    <row r="938" spans="1:27" s="4" customFormat="1" ht="51.95" customHeight="1">
      <c r="A938" s="5">
        <v>0</v>
      </c>
      <c r="B938" s="6" t="s">
        <v>5813</v>
      </c>
      <c r="C938" s="7">
        <v>1100</v>
      </c>
      <c r="D938" s="8" t="s">
        <v>5814</v>
      </c>
      <c r="E938" s="8" t="s">
        <v>5815</v>
      </c>
      <c r="F938" s="8" t="s">
        <v>5816</v>
      </c>
      <c r="G938" s="6" t="s">
        <v>123</v>
      </c>
      <c r="H938" s="6" t="s">
        <v>38</v>
      </c>
      <c r="I938" s="8" t="s">
        <v>164</v>
      </c>
      <c r="J938" s="9">
        <v>1</v>
      </c>
      <c r="K938" s="9">
        <v>242</v>
      </c>
      <c r="L938" s="9">
        <v>2023</v>
      </c>
      <c r="M938" s="8" t="s">
        <v>5817</v>
      </c>
      <c r="N938" s="8" t="s">
        <v>41</v>
      </c>
      <c r="O938" s="8" t="s">
        <v>65</v>
      </c>
      <c r="P938" s="6" t="s">
        <v>55</v>
      </c>
      <c r="Q938" s="8" t="s">
        <v>56</v>
      </c>
      <c r="R938" s="10" t="s">
        <v>5818</v>
      </c>
      <c r="S938" s="11" t="s">
        <v>5819</v>
      </c>
      <c r="T938" s="6"/>
      <c r="U938" s="28" t="str">
        <f>HYPERLINK("https://media.infra-m.ru/1818/1818581/cover/1818581.jpg", "Обложка")</f>
        <v>Обложка</v>
      </c>
      <c r="V938" s="28" t="str">
        <f>HYPERLINK("https://znanium.ru/catalog/product/1818581", "Ознакомиться")</f>
        <v>Ознакомиться</v>
      </c>
      <c r="W938" s="8"/>
      <c r="X938" s="6"/>
      <c r="Y938" s="6"/>
      <c r="Z938" s="6"/>
      <c r="AA938" s="6" t="s">
        <v>880</v>
      </c>
    </row>
    <row r="939" spans="1:27" s="4" customFormat="1" ht="51.95" customHeight="1">
      <c r="A939" s="5">
        <v>0</v>
      </c>
      <c r="B939" s="6" t="s">
        <v>5820</v>
      </c>
      <c r="C939" s="13">
        <v>774.9</v>
      </c>
      <c r="D939" s="8" t="s">
        <v>5821</v>
      </c>
      <c r="E939" s="8" t="s">
        <v>5809</v>
      </c>
      <c r="F939" s="8" t="s">
        <v>5822</v>
      </c>
      <c r="G939" s="6" t="s">
        <v>123</v>
      </c>
      <c r="H939" s="6" t="s">
        <v>38</v>
      </c>
      <c r="I939" s="8" t="s">
        <v>164</v>
      </c>
      <c r="J939" s="9">
        <v>1</v>
      </c>
      <c r="K939" s="9">
        <v>265</v>
      </c>
      <c r="L939" s="9">
        <v>2017</v>
      </c>
      <c r="M939" s="8" t="s">
        <v>5823</v>
      </c>
      <c r="N939" s="8" t="s">
        <v>41</v>
      </c>
      <c r="O939" s="8" t="s">
        <v>65</v>
      </c>
      <c r="P939" s="6" t="s">
        <v>55</v>
      </c>
      <c r="Q939" s="8" t="s">
        <v>56</v>
      </c>
      <c r="R939" s="10" t="s">
        <v>5818</v>
      </c>
      <c r="S939" s="11" t="s">
        <v>5824</v>
      </c>
      <c r="T939" s="6"/>
      <c r="U939" s="28" t="str">
        <f>HYPERLINK("https://media.infra-m.ru/0775/0775234/cover/775234.jpg", "Обложка")</f>
        <v>Обложка</v>
      </c>
      <c r="V939" s="28" t="str">
        <f>HYPERLINK("https://znanium.ru/catalog/product/1818581", "Ознакомиться")</f>
        <v>Ознакомиться</v>
      </c>
      <c r="W939" s="8"/>
      <c r="X939" s="6"/>
      <c r="Y939" s="6"/>
      <c r="Z939" s="6"/>
      <c r="AA939" s="6" t="s">
        <v>274</v>
      </c>
    </row>
    <row r="940" spans="1:27" s="4" customFormat="1" ht="51.95" customHeight="1">
      <c r="A940" s="5">
        <v>0</v>
      </c>
      <c r="B940" s="6" t="s">
        <v>5825</v>
      </c>
      <c r="C940" s="7">
        <v>1080</v>
      </c>
      <c r="D940" s="8" t="s">
        <v>5826</v>
      </c>
      <c r="E940" s="8" t="s">
        <v>5827</v>
      </c>
      <c r="F940" s="8" t="s">
        <v>5828</v>
      </c>
      <c r="G940" s="6" t="s">
        <v>37</v>
      </c>
      <c r="H940" s="6" t="s">
        <v>38</v>
      </c>
      <c r="I940" s="8" t="s">
        <v>39</v>
      </c>
      <c r="J940" s="9">
        <v>1</v>
      </c>
      <c r="K940" s="9">
        <v>227</v>
      </c>
      <c r="L940" s="9">
        <v>2024</v>
      </c>
      <c r="M940" s="8" t="s">
        <v>5829</v>
      </c>
      <c r="N940" s="8" t="s">
        <v>41</v>
      </c>
      <c r="O940" s="8" t="s">
        <v>54</v>
      </c>
      <c r="P940" s="6" t="s">
        <v>43</v>
      </c>
      <c r="Q940" s="8" t="s">
        <v>44</v>
      </c>
      <c r="R940" s="10" t="s">
        <v>5830</v>
      </c>
      <c r="S940" s="11"/>
      <c r="T940" s="6"/>
      <c r="U940" s="28" t="str">
        <f>HYPERLINK("https://media.infra-m.ru/2117/2117176/cover/2117176.jpg", "Обложка")</f>
        <v>Обложка</v>
      </c>
      <c r="V940" s="28" t="str">
        <f>HYPERLINK("https://znanium.ru/catalog/product/2117176", "Ознакомиться")</f>
        <v>Ознакомиться</v>
      </c>
      <c r="W940" s="8" t="s">
        <v>5831</v>
      </c>
      <c r="X940" s="6"/>
      <c r="Y940" s="6"/>
      <c r="Z940" s="6"/>
      <c r="AA940" s="6" t="s">
        <v>78</v>
      </c>
    </row>
    <row r="941" spans="1:27" s="4" customFormat="1" ht="42" customHeight="1">
      <c r="A941" s="5">
        <v>0</v>
      </c>
      <c r="B941" s="6" t="s">
        <v>5832</v>
      </c>
      <c r="C941" s="13">
        <v>910</v>
      </c>
      <c r="D941" s="8" t="s">
        <v>5833</v>
      </c>
      <c r="E941" s="8" t="s">
        <v>5834</v>
      </c>
      <c r="F941" s="8" t="s">
        <v>5835</v>
      </c>
      <c r="G941" s="6" t="s">
        <v>83</v>
      </c>
      <c r="H941" s="6" t="s">
        <v>38</v>
      </c>
      <c r="I941" s="8" t="s">
        <v>325</v>
      </c>
      <c r="J941" s="9">
        <v>1</v>
      </c>
      <c r="K941" s="9">
        <v>237</v>
      </c>
      <c r="L941" s="9">
        <v>2021</v>
      </c>
      <c r="M941" s="8" t="s">
        <v>5836</v>
      </c>
      <c r="N941" s="8" t="s">
        <v>74</v>
      </c>
      <c r="O941" s="8" t="s">
        <v>75</v>
      </c>
      <c r="P941" s="6" t="s">
        <v>43</v>
      </c>
      <c r="Q941" s="8" t="s">
        <v>44</v>
      </c>
      <c r="R941" s="10" t="s">
        <v>3006</v>
      </c>
      <c r="S941" s="11"/>
      <c r="T941" s="6"/>
      <c r="U941" s="28" t="str">
        <f>HYPERLINK("https://media.infra-m.ru/1403/1403222/cover/1403222.jpg", "Обложка")</f>
        <v>Обложка</v>
      </c>
      <c r="V941" s="12"/>
      <c r="W941" s="8" t="s">
        <v>1200</v>
      </c>
      <c r="X941" s="6"/>
      <c r="Y941" s="6"/>
      <c r="Z941" s="6"/>
      <c r="AA941" s="6" t="s">
        <v>68</v>
      </c>
    </row>
    <row r="942" spans="1:27" s="4" customFormat="1" ht="51.95" customHeight="1">
      <c r="A942" s="5">
        <v>0</v>
      </c>
      <c r="B942" s="6" t="s">
        <v>5837</v>
      </c>
      <c r="C942" s="7">
        <v>1124</v>
      </c>
      <c r="D942" s="8" t="s">
        <v>5838</v>
      </c>
      <c r="E942" s="8" t="s">
        <v>5839</v>
      </c>
      <c r="F942" s="8" t="s">
        <v>5840</v>
      </c>
      <c r="G942" s="6" t="s">
        <v>123</v>
      </c>
      <c r="H942" s="6" t="s">
        <v>38</v>
      </c>
      <c r="I942" s="8" t="s">
        <v>164</v>
      </c>
      <c r="J942" s="9">
        <v>1</v>
      </c>
      <c r="K942" s="9">
        <v>245</v>
      </c>
      <c r="L942" s="9">
        <v>2024</v>
      </c>
      <c r="M942" s="8" t="s">
        <v>5841</v>
      </c>
      <c r="N942" s="8" t="s">
        <v>74</v>
      </c>
      <c r="O942" s="8" t="s">
        <v>75</v>
      </c>
      <c r="P942" s="6" t="s">
        <v>55</v>
      </c>
      <c r="Q942" s="8" t="s">
        <v>56</v>
      </c>
      <c r="R942" s="10" t="s">
        <v>5842</v>
      </c>
      <c r="S942" s="11" t="s">
        <v>5843</v>
      </c>
      <c r="T942" s="6"/>
      <c r="U942" s="28" t="str">
        <f>HYPERLINK("https://media.infra-m.ru/2085/2085100/cover/2085100.jpg", "Обложка")</f>
        <v>Обложка</v>
      </c>
      <c r="V942" s="28" t="str">
        <f>HYPERLINK("https://znanium.ru/catalog/product/1002919", "Ознакомиться")</f>
        <v>Ознакомиться</v>
      </c>
      <c r="W942" s="8" t="s">
        <v>1028</v>
      </c>
      <c r="X942" s="6"/>
      <c r="Y942" s="6"/>
      <c r="Z942" s="6"/>
      <c r="AA942" s="6" t="s">
        <v>47</v>
      </c>
    </row>
    <row r="943" spans="1:27" s="4" customFormat="1" ht="42" customHeight="1">
      <c r="A943" s="5">
        <v>0</v>
      </c>
      <c r="B943" s="6" t="s">
        <v>5844</v>
      </c>
      <c r="C943" s="13">
        <v>490</v>
      </c>
      <c r="D943" s="8" t="s">
        <v>5845</v>
      </c>
      <c r="E943" s="8" t="s">
        <v>5846</v>
      </c>
      <c r="F943" s="8" t="s">
        <v>5847</v>
      </c>
      <c r="G943" s="6" t="s">
        <v>123</v>
      </c>
      <c r="H943" s="6" t="s">
        <v>38</v>
      </c>
      <c r="I943" s="8" t="s">
        <v>325</v>
      </c>
      <c r="J943" s="9">
        <v>1</v>
      </c>
      <c r="K943" s="9">
        <v>156</v>
      </c>
      <c r="L943" s="9">
        <v>2018</v>
      </c>
      <c r="M943" s="8" t="s">
        <v>5848</v>
      </c>
      <c r="N943" s="8" t="s">
        <v>74</v>
      </c>
      <c r="O943" s="8" t="s">
        <v>93</v>
      </c>
      <c r="P943" s="6" t="s">
        <v>43</v>
      </c>
      <c r="Q943" s="8" t="s">
        <v>44</v>
      </c>
      <c r="R943" s="10"/>
      <c r="S943" s="11"/>
      <c r="T943" s="6"/>
      <c r="U943" s="28" t="str">
        <f>HYPERLINK("https://media.infra-m.ru/0925/0925967/cover/925967.jpg", "Обложка")</f>
        <v>Обложка</v>
      </c>
      <c r="V943" s="12"/>
      <c r="W943" s="8" t="s">
        <v>327</v>
      </c>
      <c r="X943" s="6"/>
      <c r="Y943" s="6"/>
      <c r="Z943" s="6"/>
      <c r="AA943" s="6" t="s">
        <v>68</v>
      </c>
    </row>
    <row r="944" spans="1:27" s="4" customFormat="1" ht="42" customHeight="1">
      <c r="A944" s="5">
        <v>0</v>
      </c>
      <c r="B944" s="6" t="s">
        <v>5849</v>
      </c>
      <c r="C944" s="7">
        <v>1100</v>
      </c>
      <c r="D944" s="8" t="s">
        <v>5850</v>
      </c>
      <c r="E944" s="8" t="s">
        <v>5851</v>
      </c>
      <c r="F944" s="8" t="s">
        <v>5852</v>
      </c>
      <c r="G944" s="6" t="s">
        <v>37</v>
      </c>
      <c r="H944" s="6" t="s">
        <v>317</v>
      </c>
      <c r="I944" s="8" t="s">
        <v>39</v>
      </c>
      <c r="J944" s="9">
        <v>1</v>
      </c>
      <c r="K944" s="9">
        <v>238</v>
      </c>
      <c r="L944" s="9">
        <v>2023</v>
      </c>
      <c r="M944" s="8" t="s">
        <v>5853</v>
      </c>
      <c r="N944" s="8" t="s">
        <v>74</v>
      </c>
      <c r="O944" s="8" t="s">
        <v>75</v>
      </c>
      <c r="P944" s="6" t="s">
        <v>43</v>
      </c>
      <c r="Q944" s="8" t="s">
        <v>44</v>
      </c>
      <c r="R944" s="10" t="s">
        <v>5854</v>
      </c>
      <c r="S944" s="11"/>
      <c r="T944" s="6"/>
      <c r="U944" s="28" t="str">
        <f>HYPERLINK("https://media.infra-m.ru/2063/2063336/cover/2063336.jpg", "Обложка")</f>
        <v>Обложка</v>
      </c>
      <c r="V944" s="28" t="str">
        <f>HYPERLINK("https://znanium.ru/catalog/product/2063336", "Ознакомиться")</f>
        <v>Ознакомиться</v>
      </c>
      <c r="W944" s="8"/>
      <c r="X944" s="6"/>
      <c r="Y944" s="6"/>
      <c r="Z944" s="6"/>
      <c r="AA944" s="6" t="s">
        <v>290</v>
      </c>
    </row>
    <row r="945" spans="1:27" s="4" customFormat="1" ht="42" customHeight="1">
      <c r="A945" s="5">
        <v>0</v>
      </c>
      <c r="B945" s="6" t="s">
        <v>5855</v>
      </c>
      <c r="C945" s="7">
        <v>2670</v>
      </c>
      <c r="D945" s="8" t="s">
        <v>5856</v>
      </c>
      <c r="E945" s="8" t="s">
        <v>5857</v>
      </c>
      <c r="F945" s="8" t="s">
        <v>5858</v>
      </c>
      <c r="G945" s="6" t="s">
        <v>83</v>
      </c>
      <c r="H945" s="6" t="s">
        <v>38</v>
      </c>
      <c r="I945" s="8" t="s">
        <v>787</v>
      </c>
      <c r="J945" s="9">
        <v>1</v>
      </c>
      <c r="K945" s="9">
        <v>718</v>
      </c>
      <c r="L945" s="9">
        <v>2023</v>
      </c>
      <c r="M945" s="8" t="s">
        <v>5859</v>
      </c>
      <c r="N945" s="8" t="s">
        <v>74</v>
      </c>
      <c r="O945" s="8" t="s">
        <v>75</v>
      </c>
      <c r="P945" s="6" t="s">
        <v>378</v>
      </c>
      <c r="Q945" s="8" t="s">
        <v>44</v>
      </c>
      <c r="R945" s="10" t="s">
        <v>2042</v>
      </c>
      <c r="S945" s="11"/>
      <c r="T945" s="6"/>
      <c r="U945" s="28" t="str">
        <f>HYPERLINK("https://media.infra-m.ru/1897/1897010/cover/1897010.jpg", "Обложка")</f>
        <v>Обложка</v>
      </c>
      <c r="V945" s="28" t="str">
        <f>HYPERLINK("https://znanium.ru/catalog/product/1897010", "Ознакомиться")</f>
        <v>Ознакомиться</v>
      </c>
      <c r="W945" s="8" t="s">
        <v>273</v>
      </c>
      <c r="X945" s="6"/>
      <c r="Y945" s="6"/>
      <c r="Z945" s="6"/>
      <c r="AA945" s="6" t="s">
        <v>381</v>
      </c>
    </row>
    <row r="946" spans="1:27" s="4" customFormat="1" ht="42" customHeight="1">
      <c r="A946" s="5">
        <v>0</v>
      </c>
      <c r="B946" s="6" t="s">
        <v>5860</v>
      </c>
      <c r="C946" s="13">
        <v>520</v>
      </c>
      <c r="D946" s="8" t="s">
        <v>5861</v>
      </c>
      <c r="E946" s="8" t="s">
        <v>5862</v>
      </c>
      <c r="F946" s="8" t="s">
        <v>5863</v>
      </c>
      <c r="G946" s="6" t="s">
        <v>37</v>
      </c>
      <c r="H946" s="6" t="s">
        <v>38</v>
      </c>
      <c r="I946" s="8" t="s">
        <v>2770</v>
      </c>
      <c r="J946" s="9">
        <v>1</v>
      </c>
      <c r="K946" s="9">
        <v>160</v>
      </c>
      <c r="L946" s="9">
        <v>2020</v>
      </c>
      <c r="M946" s="8" t="s">
        <v>5864</v>
      </c>
      <c r="N946" s="8" t="s">
        <v>74</v>
      </c>
      <c r="O946" s="8" t="s">
        <v>75</v>
      </c>
      <c r="P946" s="6" t="s">
        <v>378</v>
      </c>
      <c r="Q946" s="8" t="s">
        <v>44</v>
      </c>
      <c r="R946" s="10" t="s">
        <v>5865</v>
      </c>
      <c r="S946" s="11"/>
      <c r="T946" s="6"/>
      <c r="U946" s="28" t="str">
        <f>HYPERLINK("https://media.infra-m.ru/1039/1039306/cover/1039306.jpg", "Обложка")</f>
        <v>Обложка</v>
      </c>
      <c r="V946" s="28" t="str">
        <f>HYPERLINK("https://znanium.ru/catalog/product/1039306", "Ознакомиться")</f>
        <v>Ознакомиться</v>
      </c>
      <c r="W946" s="8" t="s">
        <v>273</v>
      </c>
      <c r="X946" s="6"/>
      <c r="Y946" s="6"/>
      <c r="Z946" s="6"/>
      <c r="AA946" s="6" t="s">
        <v>59</v>
      </c>
    </row>
    <row r="947" spans="1:27" s="4" customFormat="1" ht="51.95" customHeight="1">
      <c r="A947" s="5">
        <v>0</v>
      </c>
      <c r="B947" s="6" t="s">
        <v>5866</v>
      </c>
      <c r="C947" s="13">
        <v>840</v>
      </c>
      <c r="D947" s="8" t="s">
        <v>5867</v>
      </c>
      <c r="E947" s="8" t="s">
        <v>5868</v>
      </c>
      <c r="F947" s="8" t="s">
        <v>5869</v>
      </c>
      <c r="G947" s="6" t="s">
        <v>83</v>
      </c>
      <c r="H947" s="6" t="s">
        <v>38</v>
      </c>
      <c r="I947" s="8" t="s">
        <v>795</v>
      </c>
      <c r="J947" s="9">
        <v>1</v>
      </c>
      <c r="K947" s="9">
        <v>176</v>
      </c>
      <c r="L947" s="9">
        <v>2024</v>
      </c>
      <c r="M947" s="8" t="s">
        <v>5870</v>
      </c>
      <c r="N947" s="8" t="s">
        <v>74</v>
      </c>
      <c r="O947" s="8" t="s">
        <v>75</v>
      </c>
      <c r="P947" s="6" t="s">
        <v>378</v>
      </c>
      <c r="Q947" s="8" t="s">
        <v>44</v>
      </c>
      <c r="R947" s="10" t="s">
        <v>5871</v>
      </c>
      <c r="S947" s="11"/>
      <c r="T947" s="6"/>
      <c r="U947" s="28" t="str">
        <f>HYPERLINK("https://media.infra-m.ru/2102/2102673/cover/2102673.jpg", "Обложка")</f>
        <v>Обложка</v>
      </c>
      <c r="V947" s="28" t="str">
        <f>HYPERLINK("https://znanium.ru/catalog/product/2102673", "Ознакомиться")</f>
        <v>Ознакомиться</v>
      </c>
      <c r="W947" s="8" t="s">
        <v>3932</v>
      </c>
      <c r="X947" s="6"/>
      <c r="Y947" s="6"/>
      <c r="Z947" s="6"/>
      <c r="AA947" s="6" t="s">
        <v>111</v>
      </c>
    </row>
    <row r="948" spans="1:27" s="4" customFormat="1" ht="42" customHeight="1">
      <c r="A948" s="5">
        <v>0</v>
      </c>
      <c r="B948" s="6" t="s">
        <v>5872</v>
      </c>
      <c r="C948" s="13">
        <v>654</v>
      </c>
      <c r="D948" s="8" t="s">
        <v>5873</v>
      </c>
      <c r="E948" s="8" t="s">
        <v>5874</v>
      </c>
      <c r="F948" s="8" t="s">
        <v>5875</v>
      </c>
      <c r="G948" s="6" t="s">
        <v>37</v>
      </c>
      <c r="H948" s="6" t="s">
        <v>38</v>
      </c>
      <c r="I948" s="8" t="s">
        <v>164</v>
      </c>
      <c r="J948" s="9">
        <v>1</v>
      </c>
      <c r="K948" s="9">
        <v>143</v>
      </c>
      <c r="L948" s="9">
        <v>2024</v>
      </c>
      <c r="M948" s="8" t="s">
        <v>5876</v>
      </c>
      <c r="N948" s="8" t="s">
        <v>74</v>
      </c>
      <c r="O948" s="8" t="s">
        <v>75</v>
      </c>
      <c r="P948" s="6" t="s">
        <v>55</v>
      </c>
      <c r="Q948" s="8" t="s">
        <v>56</v>
      </c>
      <c r="R948" s="10" t="s">
        <v>1804</v>
      </c>
      <c r="S948" s="11"/>
      <c r="T948" s="6"/>
      <c r="U948" s="28" t="str">
        <f>HYPERLINK("https://media.infra-m.ru/2117/2117055/cover/2117055.jpg", "Обложка")</f>
        <v>Обложка</v>
      </c>
      <c r="V948" s="28" t="str">
        <f>HYPERLINK("https://znanium.ru/catalog/product/935522", "Ознакомиться")</f>
        <v>Ознакомиться</v>
      </c>
      <c r="W948" s="8" t="s">
        <v>3863</v>
      </c>
      <c r="X948" s="6"/>
      <c r="Y948" s="6"/>
      <c r="Z948" s="6"/>
      <c r="AA948" s="6" t="s">
        <v>290</v>
      </c>
    </row>
    <row r="949" spans="1:27" s="4" customFormat="1" ht="42" customHeight="1">
      <c r="A949" s="5">
        <v>0</v>
      </c>
      <c r="B949" s="6" t="s">
        <v>5877</v>
      </c>
      <c r="C949" s="13">
        <v>854.9</v>
      </c>
      <c r="D949" s="8" t="s">
        <v>5878</v>
      </c>
      <c r="E949" s="8" t="s">
        <v>5879</v>
      </c>
      <c r="F949" s="8" t="s">
        <v>5880</v>
      </c>
      <c r="G949" s="6" t="s">
        <v>37</v>
      </c>
      <c r="H949" s="6" t="s">
        <v>38</v>
      </c>
      <c r="I949" s="8" t="s">
        <v>155</v>
      </c>
      <c r="J949" s="9">
        <v>1</v>
      </c>
      <c r="K949" s="9">
        <v>268</v>
      </c>
      <c r="L949" s="9">
        <v>2019</v>
      </c>
      <c r="M949" s="8" t="s">
        <v>5881</v>
      </c>
      <c r="N949" s="8" t="s">
        <v>74</v>
      </c>
      <c r="O949" s="8" t="s">
        <v>75</v>
      </c>
      <c r="P949" s="6" t="s">
        <v>55</v>
      </c>
      <c r="Q949" s="8" t="s">
        <v>56</v>
      </c>
      <c r="R949" s="10" t="s">
        <v>5882</v>
      </c>
      <c r="S949" s="11"/>
      <c r="T949" s="6"/>
      <c r="U949" s="28" t="str">
        <f>HYPERLINK("https://media.infra-m.ru/1010/1010086/cover/1010086.jpg", "Обложка")</f>
        <v>Обложка</v>
      </c>
      <c r="V949" s="28" t="str">
        <f>HYPERLINK("https://znanium.ru/catalog/product/1010086", "Ознакомиться")</f>
        <v>Ознакомиться</v>
      </c>
      <c r="W949" s="8" t="s">
        <v>1085</v>
      </c>
      <c r="X949" s="6"/>
      <c r="Y949" s="6"/>
      <c r="Z949" s="6"/>
      <c r="AA949" s="6" t="s">
        <v>59</v>
      </c>
    </row>
    <row r="950" spans="1:27" s="4" customFormat="1" ht="51.95" customHeight="1">
      <c r="A950" s="5">
        <v>0</v>
      </c>
      <c r="B950" s="6" t="s">
        <v>5883</v>
      </c>
      <c r="C950" s="7">
        <v>1090</v>
      </c>
      <c r="D950" s="8" t="s">
        <v>5884</v>
      </c>
      <c r="E950" s="8" t="s">
        <v>5885</v>
      </c>
      <c r="F950" s="8" t="s">
        <v>72</v>
      </c>
      <c r="G950" s="6" t="s">
        <v>123</v>
      </c>
      <c r="H950" s="6" t="s">
        <v>38</v>
      </c>
      <c r="I950" s="8" t="s">
        <v>39</v>
      </c>
      <c r="J950" s="9">
        <v>1</v>
      </c>
      <c r="K950" s="9">
        <v>219</v>
      </c>
      <c r="L950" s="9">
        <v>2024</v>
      </c>
      <c r="M950" s="8" t="s">
        <v>5886</v>
      </c>
      <c r="N950" s="8" t="s">
        <v>74</v>
      </c>
      <c r="O950" s="8" t="s">
        <v>75</v>
      </c>
      <c r="P950" s="6" t="s">
        <v>43</v>
      </c>
      <c r="Q950" s="8" t="s">
        <v>44</v>
      </c>
      <c r="R950" s="10" t="s">
        <v>5887</v>
      </c>
      <c r="S950" s="11"/>
      <c r="T950" s="6"/>
      <c r="U950" s="28" t="str">
        <f>HYPERLINK("https://media.infra-m.ru/2131/2131278/cover/2131278.jpg", "Обложка")</f>
        <v>Обложка</v>
      </c>
      <c r="V950" s="28" t="str">
        <f>HYPERLINK("https://znanium.ru/catalog/product/2131278", "Ознакомиться")</f>
        <v>Ознакомиться</v>
      </c>
      <c r="W950" s="8" t="s">
        <v>77</v>
      </c>
      <c r="X950" s="6" t="s">
        <v>1242</v>
      </c>
      <c r="Y950" s="6"/>
      <c r="Z950" s="6"/>
      <c r="AA950" s="6" t="s">
        <v>180</v>
      </c>
    </row>
    <row r="951" spans="1:27" s="4" customFormat="1" ht="44.1" customHeight="1">
      <c r="A951" s="5">
        <v>0</v>
      </c>
      <c r="B951" s="6" t="s">
        <v>5888</v>
      </c>
      <c r="C951" s="13">
        <v>660</v>
      </c>
      <c r="D951" s="8" t="s">
        <v>5889</v>
      </c>
      <c r="E951" s="8" t="s">
        <v>5890</v>
      </c>
      <c r="F951" s="8" t="s">
        <v>1534</v>
      </c>
      <c r="G951" s="6" t="s">
        <v>37</v>
      </c>
      <c r="H951" s="6" t="s">
        <v>38</v>
      </c>
      <c r="I951" s="8" t="s">
        <v>39</v>
      </c>
      <c r="J951" s="9">
        <v>1</v>
      </c>
      <c r="K951" s="9">
        <v>121</v>
      </c>
      <c r="L951" s="9">
        <v>2024</v>
      </c>
      <c r="M951" s="8" t="s">
        <v>5891</v>
      </c>
      <c r="N951" s="8" t="s">
        <v>74</v>
      </c>
      <c r="O951" s="8" t="s">
        <v>75</v>
      </c>
      <c r="P951" s="6" t="s">
        <v>43</v>
      </c>
      <c r="Q951" s="8" t="s">
        <v>44</v>
      </c>
      <c r="R951" s="10" t="s">
        <v>5892</v>
      </c>
      <c r="S951" s="11"/>
      <c r="T951" s="6"/>
      <c r="U951" s="28" t="str">
        <f>HYPERLINK("https://media.infra-m.ru/2106/2106742/cover/2106742.jpg", "Обложка")</f>
        <v>Обложка</v>
      </c>
      <c r="V951" s="28" t="str">
        <f>HYPERLINK("https://znanium.ru/catalog/product/2106742", "Ознакомиться")</f>
        <v>Ознакомиться</v>
      </c>
      <c r="W951" s="8" t="s">
        <v>1085</v>
      </c>
      <c r="X951" s="6"/>
      <c r="Y951" s="6"/>
      <c r="Z951" s="6"/>
      <c r="AA951" s="6" t="s">
        <v>141</v>
      </c>
    </row>
    <row r="952" spans="1:27" s="4" customFormat="1" ht="51.95" customHeight="1">
      <c r="A952" s="5">
        <v>0</v>
      </c>
      <c r="B952" s="6" t="s">
        <v>5893</v>
      </c>
      <c r="C952" s="13">
        <v>590</v>
      </c>
      <c r="D952" s="8" t="s">
        <v>5894</v>
      </c>
      <c r="E952" s="8" t="s">
        <v>5895</v>
      </c>
      <c r="F952" s="8" t="s">
        <v>5896</v>
      </c>
      <c r="G952" s="6" t="s">
        <v>37</v>
      </c>
      <c r="H952" s="6" t="s">
        <v>38</v>
      </c>
      <c r="I952" s="8" t="s">
        <v>39</v>
      </c>
      <c r="J952" s="9">
        <v>1</v>
      </c>
      <c r="K952" s="9">
        <v>128</v>
      </c>
      <c r="L952" s="9">
        <v>2024</v>
      </c>
      <c r="M952" s="8" t="s">
        <v>5897</v>
      </c>
      <c r="N952" s="8" t="s">
        <v>74</v>
      </c>
      <c r="O952" s="8" t="s">
        <v>75</v>
      </c>
      <c r="P952" s="6" t="s">
        <v>43</v>
      </c>
      <c r="Q952" s="8" t="s">
        <v>44</v>
      </c>
      <c r="R952" s="10" t="s">
        <v>3019</v>
      </c>
      <c r="S952" s="11"/>
      <c r="T952" s="6"/>
      <c r="U952" s="28" t="str">
        <f>HYPERLINK("https://media.infra-m.ru/2080/2080776/cover/2080776.jpg", "Обложка")</f>
        <v>Обложка</v>
      </c>
      <c r="V952" s="28" t="str">
        <f>HYPERLINK("https://znanium.ru/catalog/product/2080776", "Ознакомиться")</f>
        <v>Ознакомиться</v>
      </c>
      <c r="W952" s="8" t="s">
        <v>159</v>
      </c>
      <c r="X952" s="6"/>
      <c r="Y952" s="6"/>
      <c r="Z952" s="6"/>
      <c r="AA952" s="6" t="s">
        <v>59</v>
      </c>
    </row>
    <row r="953" spans="1:27" s="4" customFormat="1" ht="51.95" customHeight="1">
      <c r="A953" s="5">
        <v>0</v>
      </c>
      <c r="B953" s="6" t="s">
        <v>5898</v>
      </c>
      <c r="C953" s="13">
        <v>694.4</v>
      </c>
      <c r="D953" s="8" t="s">
        <v>5899</v>
      </c>
      <c r="E953" s="8" t="s">
        <v>5900</v>
      </c>
      <c r="F953" s="8" t="s">
        <v>1183</v>
      </c>
      <c r="G953" s="6" t="s">
        <v>37</v>
      </c>
      <c r="H953" s="6" t="s">
        <v>38</v>
      </c>
      <c r="I953" s="8" t="s">
        <v>146</v>
      </c>
      <c r="J953" s="9">
        <v>1</v>
      </c>
      <c r="K953" s="9">
        <v>173</v>
      </c>
      <c r="L953" s="9">
        <v>2020</v>
      </c>
      <c r="M953" s="8" t="s">
        <v>5901</v>
      </c>
      <c r="N953" s="8" t="s">
        <v>41</v>
      </c>
      <c r="O953" s="8" t="s">
        <v>42</v>
      </c>
      <c r="P953" s="6" t="s">
        <v>43</v>
      </c>
      <c r="Q953" s="8" t="s">
        <v>594</v>
      </c>
      <c r="R953" s="10" t="s">
        <v>5902</v>
      </c>
      <c r="S953" s="11"/>
      <c r="T953" s="6"/>
      <c r="U953" s="28" t="str">
        <f>HYPERLINK("https://media.infra-m.ru/2081/2081775/cover/2081775.jpg", "Обложка")</f>
        <v>Обложка</v>
      </c>
      <c r="V953" s="28" t="str">
        <f>HYPERLINK("https://znanium.ru/catalog/product/1896434", "Ознакомиться")</f>
        <v>Ознакомиться</v>
      </c>
      <c r="W953" s="8" t="s">
        <v>149</v>
      </c>
      <c r="X953" s="6"/>
      <c r="Y953" s="6"/>
      <c r="Z953" s="6"/>
      <c r="AA953" s="6" t="s">
        <v>141</v>
      </c>
    </row>
    <row r="954" spans="1:27" s="4" customFormat="1" ht="44.1" customHeight="1">
      <c r="A954" s="5">
        <v>0</v>
      </c>
      <c r="B954" s="6" t="s">
        <v>5903</v>
      </c>
      <c r="C954" s="13">
        <v>680</v>
      </c>
      <c r="D954" s="8" t="s">
        <v>5904</v>
      </c>
      <c r="E954" s="8" t="s">
        <v>5905</v>
      </c>
      <c r="F954" s="8" t="s">
        <v>400</v>
      </c>
      <c r="G954" s="6" t="s">
        <v>37</v>
      </c>
      <c r="H954" s="6" t="s">
        <v>38</v>
      </c>
      <c r="I954" s="8" t="s">
        <v>39</v>
      </c>
      <c r="J954" s="9">
        <v>1</v>
      </c>
      <c r="K954" s="9">
        <v>175</v>
      </c>
      <c r="L954" s="9">
        <v>2020</v>
      </c>
      <c r="M954" s="8" t="s">
        <v>5906</v>
      </c>
      <c r="N954" s="8" t="s">
        <v>74</v>
      </c>
      <c r="O954" s="8" t="s">
        <v>93</v>
      </c>
      <c r="P954" s="6" t="s">
        <v>43</v>
      </c>
      <c r="Q954" s="8" t="s">
        <v>44</v>
      </c>
      <c r="R954" s="10" t="s">
        <v>5907</v>
      </c>
      <c r="S954" s="11"/>
      <c r="T954" s="6"/>
      <c r="U954" s="28" t="str">
        <f>HYPERLINK("https://media.infra-m.ru/1016/1016656/cover/1016656.jpg", "Обложка")</f>
        <v>Обложка</v>
      </c>
      <c r="V954" s="28" t="str">
        <f>HYPERLINK("https://znanium.ru/catalog/product/1016656", "Ознакомиться")</f>
        <v>Ознакомиться</v>
      </c>
      <c r="W954" s="8" t="s">
        <v>402</v>
      </c>
      <c r="X954" s="6"/>
      <c r="Y954" s="6"/>
      <c r="Z954" s="6"/>
      <c r="AA954" s="6" t="s">
        <v>141</v>
      </c>
    </row>
    <row r="955" spans="1:27" s="4" customFormat="1" ht="42" customHeight="1">
      <c r="A955" s="5">
        <v>0</v>
      </c>
      <c r="B955" s="6" t="s">
        <v>5908</v>
      </c>
      <c r="C955" s="13">
        <v>800</v>
      </c>
      <c r="D955" s="8" t="s">
        <v>5909</v>
      </c>
      <c r="E955" s="8" t="s">
        <v>5910</v>
      </c>
      <c r="F955" s="8" t="s">
        <v>552</v>
      </c>
      <c r="G955" s="6" t="s">
        <v>37</v>
      </c>
      <c r="H955" s="6" t="s">
        <v>38</v>
      </c>
      <c r="I955" s="8" t="s">
        <v>1684</v>
      </c>
      <c r="J955" s="9">
        <v>1</v>
      </c>
      <c r="K955" s="9">
        <v>170</v>
      </c>
      <c r="L955" s="9">
        <v>2024</v>
      </c>
      <c r="M955" s="8" t="s">
        <v>5911</v>
      </c>
      <c r="N955" s="8" t="s">
        <v>74</v>
      </c>
      <c r="O955" s="8" t="s">
        <v>75</v>
      </c>
      <c r="P955" s="6" t="s">
        <v>43</v>
      </c>
      <c r="Q955" s="8" t="s">
        <v>44</v>
      </c>
      <c r="R955" s="10" t="s">
        <v>5912</v>
      </c>
      <c r="S955" s="11"/>
      <c r="T955" s="6"/>
      <c r="U955" s="28" t="str">
        <f>HYPERLINK("https://media.infra-m.ru/2145/2145513/cover/2145513.jpg", "Обложка")</f>
        <v>Обложка</v>
      </c>
      <c r="V955" s="28" t="str">
        <f>HYPERLINK("https://znanium.ru/catalog/product/2145513", "Ознакомиться")</f>
        <v>Ознакомиться</v>
      </c>
      <c r="W955" s="8" t="s">
        <v>557</v>
      </c>
      <c r="X955" s="6"/>
      <c r="Y955" s="6"/>
      <c r="Z955" s="6"/>
      <c r="AA955" s="6" t="s">
        <v>68</v>
      </c>
    </row>
    <row r="956" spans="1:27" s="4" customFormat="1" ht="51.95" customHeight="1">
      <c r="A956" s="5">
        <v>0</v>
      </c>
      <c r="B956" s="6" t="s">
        <v>5913</v>
      </c>
      <c r="C956" s="13">
        <v>990</v>
      </c>
      <c r="D956" s="8" t="s">
        <v>5914</v>
      </c>
      <c r="E956" s="8" t="s">
        <v>5915</v>
      </c>
      <c r="F956" s="8" t="s">
        <v>552</v>
      </c>
      <c r="G956" s="6" t="s">
        <v>83</v>
      </c>
      <c r="H956" s="6" t="s">
        <v>38</v>
      </c>
      <c r="I956" s="8" t="s">
        <v>5916</v>
      </c>
      <c r="J956" s="9">
        <v>1</v>
      </c>
      <c r="K956" s="9">
        <v>211</v>
      </c>
      <c r="L956" s="9">
        <v>2024</v>
      </c>
      <c r="M956" s="8" t="s">
        <v>5917</v>
      </c>
      <c r="N956" s="8" t="s">
        <v>74</v>
      </c>
      <c r="O956" s="8" t="s">
        <v>75</v>
      </c>
      <c r="P956" s="6" t="s">
        <v>55</v>
      </c>
      <c r="Q956" s="8" t="s">
        <v>594</v>
      </c>
      <c r="R956" s="10" t="s">
        <v>5918</v>
      </c>
      <c r="S956" s="11"/>
      <c r="T956" s="6"/>
      <c r="U956" s="28" t="str">
        <f>HYPERLINK("https://media.infra-m.ru/2145/2145485/cover/2145485.jpg", "Обложка")</f>
        <v>Обложка</v>
      </c>
      <c r="V956" s="28" t="str">
        <f>HYPERLINK("https://znanium.ru/catalog/product/2145485", "Ознакомиться")</f>
        <v>Ознакомиться</v>
      </c>
      <c r="W956" s="8" t="s">
        <v>557</v>
      </c>
      <c r="X956" s="6"/>
      <c r="Y956" s="6"/>
      <c r="Z956" s="6"/>
      <c r="AA956" s="6" t="s">
        <v>78</v>
      </c>
    </row>
    <row r="957" spans="1:27" s="4" customFormat="1" ht="51.95" customHeight="1">
      <c r="A957" s="5">
        <v>0</v>
      </c>
      <c r="B957" s="6" t="s">
        <v>5919</v>
      </c>
      <c r="C957" s="7">
        <v>1520</v>
      </c>
      <c r="D957" s="8" t="s">
        <v>5920</v>
      </c>
      <c r="E957" s="8" t="s">
        <v>5921</v>
      </c>
      <c r="F957" s="8" t="s">
        <v>5922</v>
      </c>
      <c r="G957" s="6" t="s">
        <v>83</v>
      </c>
      <c r="H957" s="6" t="s">
        <v>618</v>
      </c>
      <c r="I957" s="8"/>
      <c r="J957" s="9">
        <v>1</v>
      </c>
      <c r="K957" s="9">
        <v>336</v>
      </c>
      <c r="L957" s="9">
        <v>2023</v>
      </c>
      <c r="M957" s="8" t="s">
        <v>5923</v>
      </c>
      <c r="N957" s="8" t="s">
        <v>41</v>
      </c>
      <c r="O957" s="8" t="s">
        <v>65</v>
      </c>
      <c r="P957" s="6" t="s">
        <v>43</v>
      </c>
      <c r="Q957" s="8" t="s">
        <v>44</v>
      </c>
      <c r="R957" s="10" t="s">
        <v>5924</v>
      </c>
      <c r="S957" s="11"/>
      <c r="T957" s="6"/>
      <c r="U957" s="28" t="str">
        <f>HYPERLINK("https://media.infra-m.ru/2069/2069330/cover/2069330.jpg", "Обложка")</f>
        <v>Обложка</v>
      </c>
      <c r="V957" s="28" t="str">
        <f>HYPERLINK("https://znanium.ru/catalog/product/2143329", "Ознакомиться")</f>
        <v>Ознакомиться</v>
      </c>
      <c r="W957" s="8" t="s">
        <v>5925</v>
      </c>
      <c r="X957" s="6"/>
      <c r="Y957" s="6"/>
      <c r="Z957" s="6"/>
      <c r="AA957" s="6" t="s">
        <v>111</v>
      </c>
    </row>
    <row r="958" spans="1:27" s="4" customFormat="1" ht="51.95" customHeight="1">
      <c r="A958" s="5">
        <v>0</v>
      </c>
      <c r="B958" s="6" t="s">
        <v>5926</v>
      </c>
      <c r="C958" s="13">
        <v>990</v>
      </c>
      <c r="D958" s="8" t="s">
        <v>5927</v>
      </c>
      <c r="E958" s="8" t="s">
        <v>5928</v>
      </c>
      <c r="F958" s="8" t="s">
        <v>5929</v>
      </c>
      <c r="G958" s="6" t="s">
        <v>123</v>
      </c>
      <c r="H958" s="6" t="s">
        <v>38</v>
      </c>
      <c r="I958" s="8" t="s">
        <v>39</v>
      </c>
      <c r="J958" s="9">
        <v>1</v>
      </c>
      <c r="K958" s="9">
        <v>199</v>
      </c>
      <c r="L958" s="9">
        <v>2024</v>
      </c>
      <c r="M958" s="8" t="s">
        <v>5930</v>
      </c>
      <c r="N958" s="8" t="s">
        <v>74</v>
      </c>
      <c r="O958" s="8" t="s">
        <v>75</v>
      </c>
      <c r="P958" s="6" t="s">
        <v>43</v>
      </c>
      <c r="Q958" s="8" t="s">
        <v>44</v>
      </c>
      <c r="R958" s="10" t="s">
        <v>5931</v>
      </c>
      <c r="S958" s="11"/>
      <c r="T958" s="6"/>
      <c r="U958" s="28" t="str">
        <f>HYPERLINK("https://media.infra-m.ru/2100/2100004/cover/2100004.jpg", "Обложка")</f>
        <v>Обложка</v>
      </c>
      <c r="V958" s="28" t="str">
        <f>HYPERLINK("https://znanium.ru/catalog/product/2100004", "Ознакомиться")</f>
        <v>Ознакомиться</v>
      </c>
      <c r="W958" s="8" t="s">
        <v>2839</v>
      </c>
      <c r="X958" s="6" t="s">
        <v>1242</v>
      </c>
      <c r="Y958" s="6"/>
      <c r="Z958" s="6"/>
      <c r="AA958" s="6" t="s">
        <v>180</v>
      </c>
    </row>
    <row r="959" spans="1:27" s="4" customFormat="1" ht="51.95" customHeight="1">
      <c r="A959" s="5">
        <v>0</v>
      </c>
      <c r="B959" s="6" t="s">
        <v>5932</v>
      </c>
      <c r="C959" s="7">
        <v>1820</v>
      </c>
      <c r="D959" s="8" t="s">
        <v>5933</v>
      </c>
      <c r="E959" s="8" t="s">
        <v>5934</v>
      </c>
      <c r="F959" s="8" t="s">
        <v>5372</v>
      </c>
      <c r="G959" s="6" t="s">
        <v>83</v>
      </c>
      <c r="H959" s="6" t="s">
        <v>38</v>
      </c>
      <c r="I959" s="8" t="s">
        <v>155</v>
      </c>
      <c r="J959" s="9">
        <v>1</v>
      </c>
      <c r="K959" s="9">
        <v>304</v>
      </c>
      <c r="L959" s="9">
        <v>2024</v>
      </c>
      <c r="M959" s="8" t="s">
        <v>5935</v>
      </c>
      <c r="N959" s="8" t="s">
        <v>41</v>
      </c>
      <c r="O959" s="8" t="s">
        <v>65</v>
      </c>
      <c r="P959" s="6" t="s">
        <v>55</v>
      </c>
      <c r="Q959" s="8" t="s">
        <v>56</v>
      </c>
      <c r="R959" s="10" t="s">
        <v>5936</v>
      </c>
      <c r="S959" s="11" t="s">
        <v>1724</v>
      </c>
      <c r="T959" s="6"/>
      <c r="U959" s="28" t="str">
        <f>HYPERLINK("https://media.infra-m.ru/2130/2130165/cover/2130165.jpg", "Обложка")</f>
        <v>Обложка</v>
      </c>
      <c r="V959" s="28" t="str">
        <f>HYPERLINK("https://znanium.ru/catalog/product/2130165", "Ознакомиться")</f>
        <v>Ознакомиться</v>
      </c>
      <c r="W959" s="8" t="s">
        <v>4060</v>
      </c>
      <c r="X959" s="6"/>
      <c r="Y959" s="6"/>
      <c r="Z959" s="6"/>
      <c r="AA959" s="6" t="s">
        <v>364</v>
      </c>
    </row>
    <row r="960" spans="1:27" s="4" customFormat="1" ht="51.95" customHeight="1">
      <c r="A960" s="5">
        <v>0</v>
      </c>
      <c r="B960" s="6" t="s">
        <v>5937</v>
      </c>
      <c r="C960" s="7">
        <v>1300</v>
      </c>
      <c r="D960" s="8" t="s">
        <v>5938</v>
      </c>
      <c r="E960" s="8" t="s">
        <v>5939</v>
      </c>
      <c r="F960" s="8" t="s">
        <v>1109</v>
      </c>
      <c r="G960" s="6" t="s">
        <v>83</v>
      </c>
      <c r="H960" s="6" t="s">
        <v>38</v>
      </c>
      <c r="I960" s="8" t="s">
        <v>155</v>
      </c>
      <c r="J960" s="9">
        <v>1</v>
      </c>
      <c r="K960" s="9">
        <v>277</v>
      </c>
      <c r="L960" s="9">
        <v>2024</v>
      </c>
      <c r="M960" s="8" t="s">
        <v>5940</v>
      </c>
      <c r="N960" s="8" t="s">
        <v>74</v>
      </c>
      <c r="O960" s="8" t="s">
        <v>93</v>
      </c>
      <c r="P960" s="6" t="s">
        <v>176</v>
      </c>
      <c r="Q960" s="8" t="s">
        <v>177</v>
      </c>
      <c r="R960" s="10" t="s">
        <v>5941</v>
      </c>
      <c r="S960" s="11" t="s">
        <v>5942</v>
      </c>
      <c r="T960" s="6"/>
      <c r="U960" s="28" t="str">
        <f>HYPERLINK("https://media.infra-m.ru/2064/2064436/cover/2064436.jpg", "Обложка")</f>
        <v>Обложка</v>
      </c>
      <c r="V960" s="28" t="str">
        <f>HYPERLINK("https://znanium.ru/catalog/product/2064436", "Ознакомиться")</f>
        <v>Ознакомиться</v>
      </c>
      <c r="W960" s="8" t="s">
        <v>1111</v>
      </c>
      <c r="X960" s="6"/>
      <c r="Y960" s="6"/>
      <c r="Z960" s="6"/>
      <c r="AA960" s="6" t="s">
        <v>1006</v>
      </c>
    </row>
    <row r="961" spans="1:27" s="4" customFormat="1" ht="51.95" customHeight="1">
      <c r="A961" s="5">
        <v>0</v>
      </c>
      <c r="B961" s="6" t="s">
        <v>5943</v>
      </c>
      <c r="C961" s="13">
        <v>530</v>
      </c>
      <c r="D961" s="8" t="s">
        <v>5944</v>
      </c>
      <c r="E961" s="8" t="s">
        <v>5945</v>
      </c>
      <c r="F961" s="8" t="s">
        <v>5946</v>
      </c>
      <c r="G961" s="6" t="s">
        <v>37</v>
      </c>
      <c r="H961" s="6" t="s">
        <v>317</v>
      </c>
      <c r="I961" s="8" t="s">
        <v>164</v>
      </c>
      <c r="J961" s="9">
        <v>1</v>
      </c>
      <c r="K961" s="9">
        <v>108</v>
      </c>
      <c r="L961" s="9">
        <v>2024</v>
      </c>
      <c r="M961" s="8" t="s">
        <v>5947</v>
      </c>
      <c r="N961" s="8" t="s">
        <v>74</v>
      </c>
      <c r="O961" s="8" t="s">
        <v>1559</v>
      </c>
      <c r="P961" s="6" t="s">
        <v>55</v>
      </c>
      <c r="Q961" s="8" t="s">
        <v>56</v>
      </c>
      <c r="R961" s="10" t="s">
        <v>5948</v>
      </c>
      <c r="S961" s="11" t="s">
        <v>5949</v>
      </c>
      <c r="T961" s="6"/>
      <c r="U961" s="28" t="str">
        <f>HYPERLINK("https://media.infra-m.ru/2043/2043282/cover/2043282.jpg", "Обложка")</f>
        <v>Обложка</v>
      </c>
      <c r="V961" s="28" t="str">
        <f>HYPERLINK("https://znanium.ru/catalog/product/2043282", "Ознакомиться")</f>
        <v>Ознакомиться</v>
      </c>
      <c r="W961" s="8" t="s">
        <v>2165</v>
      </c>
      <c r="X961" s="6"/>
      <c r="Y961" s="6"/>
      <c r="Z961" s="6"/>
      <c r="AA961" s="6" t="s">
        <v>364</v>
      </c>
    </row>
    <row r="962" spans="1:27" s="4" customFormat="1" ht="44.1" customHeight="1">
      <c r="A962" s="5">
        <v>0</v>
      </c>
      <c r="B962" s="6" t="s">
        <v>5950</v>
      </c>
      <c r="C962" s="13">
        <v>584.9</v>
      </c>
      <c r="D962" s="8" t="s">
        <v>5951</v>
      </c>
      <c r="E962" s="8" t="s">
        <v>5952</v>
      </c>
      <c r="F962" s="8" t="s">
        <v>5953</v>
      </c>
      <c r="G962" s="6" t="s">
        <v>37</v>
      </c>
      <c r="H962" s="6" t="s">
        <v>38</v>
      </c>
      <c r="I962" s="8" t="s">
        <v>39</v>
      </c>
      <c r="J962" s="9">
        <v>1</v>
      </c>
      <c r="K962" s="9">
        <v>167</v>
      </c>
      <c r="L962" s="9">
        <v>2020</v>
      </c>
      <c r="M962" s="8" t="s">
        <v>5954</v>
      </c>
      <c r="N962" s="8" t="s">
        <v>41</v>
      </c>
      <c r="O962" s="8" t="s">
        <v>65</v>
      </c>
      <c r="P962" s="6" t="s">
        <v>43</v>
      </c>
      <c r="Q962" s="8" t="s">
        <v>44</v>
      </c>
      <c r="R962" s="10" t="s">
        <v>428</v>
      </c>
      <c r="S962" s="11"/>
      <c r="T962" s="6"/>
      <c r="U962" s="28" t="str">
        <f>HYPERLINK("https://media.infra-m.ru/1081/1081390/cover/1081390.jpg", "Обложка")</f>
        <v>Обложка</v>
      </c>
      <c r="V962" s="28" t="str">
        <f>HYPERLINK("https://znanium.ru/catalog/product/935554", "Ознакомиться")</f>
        <v>Ознакомиться</v>
      </c>
      <c r="W962" s="8" t="s">
        <v>5955</v>
      </c>
      <c r="X962" s="6"/>
      <c r="Y962" s="6"/>
      <c r="Z962" s="6"/>
      <c r="AA962" s="6" t="s">
        <v>290</v>
      </c>
    </row>
    <row r="963" spans="1:27" s="4" customFormat="1" ht="42" customHeight="1">
      <c r="A963" s="5">
        <v>0</v>
      </c>
      <c r="B963" s="6" t="s">
        <v>5956</v>
      </c>
      <c r="C963" s="13">
        <v>750</v>
      </c>
      <c r="D963" s="8" t="s">
        <v>5957</v>
      </c>
      <c r="E963" s="8" t="s">
        <v>5958</v>
      </c>
      <c r="F963" s="8" t="s">
        <v>5959</v>
      </c>
      <c r="G963" s="6" t="s">
        <v>83</v>
      </c>
      <c r="H963" s="6" t="s">
        <v>38</v>
      </c>
      <c r="I963" s="8" t="s">
        <v>884</v>
      </c>
      <c r="J963" s="9">
        <v>1</v>
      </c>
      <c r="K963" s="9">
        <v>164</v>
      </c>
      <c r="L963" s="9">
        <v>2023</v>
      </c>
      <c r="M963" s="8" t="s">
        <v>5960</v>
      </c>
      <c r="N963" s="8" t="s">
        <v>74</v>
      </c>
      <c r="O963" s="8" t="s">
        <v>75</v>
      </c>
      <c r="P963" s="6" t="s">
        <v>55</v>
      </c>
      <c r="Q963" s="8" t="s">
        <v>594</v>
      </c>
      <c r="R963" s="10" t="s">
        <v>5961</v>
      </c>
      <c r="S963" s="11"/>
      <c r="T963" s="6"/>
      <c r="U963" s="28" t="str">
        <f>HYPERLINK("https://media.infra-m.ru/1913/1913847/cover/1913847.jpg", "Обложка")</f>
        <v>Обложка</v>
      </c>
      <c r="V963" s="28" t="str">
        <f>HYPERLINK("https://znanium.ru/catalog/product/1913847", "Ознакомиться")</f>
        <v>Ознакомиться</v>
      </c>
      <c r="W963" s="8" t="s">
        <v>58</v>
      </c>
      <c r="X963" s="6"/>
      <c r="Y963" s="6"/>
      <c r="Z963" s="6"/>
      <c r="AA963" s="6" t="s">
        <v>103</v>
      </c>
    </row>
    <row r="964" spans="1:27" s="4" customFormat="1" ht="51.95" customHeight="1">
      <c r="A964" s="5">
        <v>0</v>
      </c>
      <c r="B964" s="6" t="s">
        <v>5962</v>
      </c>
      <c r="C964" s="13">
        <v>900</v>
      </c>
      <c r="D964" s="8" t="s">
        <v>5963</v>
      </c>
      <c r="E964" s="8" t="s">
        <v>5964</v>
      </c>
      <c r="F964" s="8" t="s">
        <v>5965</v>
      </c>
      <c r="G964" s="6" t="s">
        <v>83</v>
      </c>
      <c r="H964" s="6" t="s">
        <v>38</v>
      </c>
      <c r="I964" s="8" t="s">
        <v>155</v>
      </c>
      <c r="J964" s="9">
        <v>1</v>
      </c>
      <c r="K964" s="9">
        <v>200</v>
      </c>
      <c r="L964" s="9">
        <v>2023</v>
      </c>
      <c r="M964" s="8" t="s">
        <v>5966</v>
      </c>
      <c r="N964" s="8" t="s">
        <v>41</v>
      </c>
      <c r="O964" s="8" t="s">
        <v>65</v>
      </c>
      <c r="P964" s="6" t="s">
        <v>55</v>
      </c>
      <c r="Q964" s="8" t="s">
        <v>56</v>
      </c>
      <c r="R964" s="10" t="s">
        <v>2231</v>
      </c>
      <c r="S964" s="11" t="s">
        <v>5967</v>
      </c>
      <c r="T964" s="6"/>
      <c r="U964" s="28" t="str">
        <f>HYPERLINK("https://media.infra-m.ru/1906/1906711/cover/1906711.jpg", "Обложка")</f>
        <v>Обложка</v>
      </c>
      <c r="V964" s="28" t="str">
        <f>HYPERLINK("https://znanium.ru/catalog/product/1906711", "Ознакомиться")</f>
        <v>Ознакомиться</v>
      </c>
      <c r="W964" s="8" t="s">
        <v>2060</v>
      </c>
      <c r="X964" s="6"/>
      <c r="Y964" s="6"/>
      <c r="Z964" s="6"/>
      <c r="AA964" s="6" t="s">
        <v>364</v>
      </c>
    </row>
    <row r="965" spans="1:27" s="4" customFormat="1" ht="51.95" customHeight="1">
      <c r="A965" s="5">
        <v>0</v>
      </c>
      <c r="B965" s="6" t="s">
        <v>5968</v>
      </c>
      <c r="C965" s="13">
        <v>620</v>
      </c>
      <c r="D965" s="8" t="s">
        <v>5969</v>
      </c>
      <c r="E965" s="8" t="s">
        <v>5970</v>
      </c>
      <c r="F965" s="8" t="s">
        <v>5971</v>
      </c>
      <c r="G965" s="6" t="s">
        <v>37</v>
      </c>
      <c r="H965" s="6" t="s">
        <v>317</v>
      </c>
      <c r="I965" s="8" t="s">
        <v>492</v>
      </c>
      <c r="J965" s="9">
        <v>1</v>
      </c>
      <c r="K965" s="9">
        <v>132</v>
      </c>
      <c r="L965" s="9">
        <v>2023</v>
      </c>
      <c r="M965" s="8" t="s">
        <v>5972</v>
      </c>
      <c r="N965" s="8" t="s">
        <v>74</v>
      </c>
      <c r="O965" s="8" t="s">
        <v>75</v>
      </c>
      <c r="P965" s="6" t="s">
        <v>55</v>
      </c>
      <c r="Q965" s="8" t="s">
        <v>56</v>
      </c>
      <c r="R965" s="10" t="s">
        <v>5973</v>
      </c>
      <c r="S965" s="11"/>
      <c r="T965" s="6"/>
      <c r="U965" s="28" t="str">
        <f>HYPERLINK("https://media.infra-m.ru/1907/1907128/cover/1907128.jpg", "Обложка")</f>
        <v>Обложка</v>
      </c>
      <c r="V965" s="28" t="str">
        <f>HYPERLINK("https://znanium.ru/catalog/product/1907128", "Ознакомиться")</f>
        <v>Ознакомиться</v>
      </c>
      <c r="W965" s="8" t="s">
        <v>1841</v>
      </c>
      <c r="X965" s="6"/>
      <c r="Y965" s="6"/>
      <c r="Z965" s="6"/>
      <c r="AA965" s="6" t="s">
        <v>650</v>
      </c>
    </row>
    <row r="966" spans="1:27" s="4" customFormat="1" ht="51.95" customHeight="1">
      <c r="A966" s="5">
        <v>0</v>
      </c>
      <c r="B966" s="6" t="s">
        <v>5974</v>
      </c>
      <c r="C966" s="13">
        <v>920</v>
      </c>
      <c r="D966" s="8" t="s">
        <v>5975</v>
      </c>
      <c r="E966" s="8" t="s">
        <v>5976</v>
      </c>
      <c r="F966" s="8" t="s">
        <v>5977</v>
      </c>
      <c r="G966" s="6" t="s">
        <v>83</v>
      </c>
      <c r="H966" s="6" t="s">
        <v>38</v>
      </c>
      <c r="I966" s="8" t="s">
        <v>5978</v>
      </c>
      <c r="J966" s="9">
        <v>1</v>
      </c>
      <c r="K966" s="9">
        <v>201</v>
      </c>
      <c r="L966" s="9">
        <v>2023</v>
      </c>
      <c r="M966" s="8" t="s">
        <v>5979</v>
      </c>
      <c r="N966" s="8" t="s">
        <v>74</v>
      </c>
      <c r="O966" s="8" t="s">
        <v>75</v>
      </c>
      <c r="P966" s="6" t="s">
        <v>55</v>
      </c>
      <c r="Q966" s="8" t="s">
        <v>56</v>
      </c>
      <c r="R966" s="10" t="s">
        <v>5980</v>
      </c>
      <c r="S966" s="11" t="s">
        <v>5981</v>
      </c>
      <c r="T966" s="6"/>
      <c r="U966" s="28" t="str">
        <f>HYPERLINK("https://media.infra-m.ru/1902/1902899/cover/1902899.jpg", "Обложка")</f>
        <v>Обложка</v>
      </c>
      <c r="V966" s="12"/>
      <c r="W966" s="8" t="s">
        <v>327</v>
      </c>
      <c r="X966" s="6"/>
      <c r="Y966" s="6"/>
      <c r="Z966" s="6"/>
      <c r="AA966" s="6" t="s">
        <v>68</v>
      </c>
    </row>
    <row r="967" spans="1:27" s="4" customFormat="1" ht="51.95" customHeight="1">
      <c r="A967" s="5">
        <v>0</v>
      </c>
      <c r="B967" s="6" t="s">
        <v>5982</v>
      </c>
      <c r="C967" s="7">
        <v>1470</v>
      </c>
      <c r="D967" s="8" t="s">
        <v>5983</v>
      </c>
      <c r="E967" s="8" t="s">
        <v>5984</v>
      </c>
      <c r="F967" s="8" t="s">
        <v>5985</v>
      </c>
      <c r="G967" s="6" t="s">
        <v>83</v>
      </c>
      <c r="H967" s="6" t="s">
        <v>317</v>
      </c>
      <c r="I967" s="8" t="s">
        <v>492</v>
      </c>
      <c r="J967" s="9">
        <v>1</v>
      </c>
      <c r="K967" s="9">
        <v>318</v>
      </c>
      <c r="L967" s="9">
        <v>2024</v>
      </c>
      <c r="M967" s="8" t="s">
        <v>5986</v>
      </c>
      <c r="N967" s="8" t="s">
        <v>74</v>
      </c>
      <c r="O967" s="8" t="s">
        <v>75</v>
      </c>
      <c r="P967" s="6" t="s">
        <v>55</v>
      </c>
      <c r="Q967" s="8" t="s">
        <v>56</v>
      </c>
      <c r="R967" s="10" t="s">
        <v>5987</v>
      </c>
      <c r="S967" s="11"/>
      <c r="T967" s="6"/>
      <c r="U967" s="28" t="str">
        <f>HYPERLINK("https://media.infra-m.ru/2113/2113842/cover/2113842.jpg", "Обложка")</f>
        <v>Обложка</v>
      </c>
      <c r="V967" s="12"/>
      <c r="W967" s="8" t="s">
        <v>1841</v>
      </c>
      <c r="X967" s="6"/>
      <c r="Y967" s="6"/>
      <c r="Z967" s="6"/>
      <c r="AA967" s="6" t="s">
        <v>103</v>
      </c>
    </row>
    <row r="968" spans="1:27" s="4" customFormat="1" ht="51.95" customHeight="1">
      <c r="A968" s="5">
        <v>0</v>
      </c>
      <c r="B968" s="6" t="s">
        <v>5988</v>
      </c>
      <c r="C968" s="13">
        <v>774</v>
      </c>
      <c r="D968" s="8" t="s">
        <v>5989</v>
      </c>
      <c r="E968" s="8" t="s">
        <v>5990</v>
      </c>
      <c r="F968" s="8" t="s">
        <v>5991</v>
      </c>
      <c r="G968" s="6" t="s">
        <v>37</v>
      </c>
      <c r="H968" s="6" t="s">
        <v>317</v>
      </c>
      <c r="I968" s="8" t="s">
        <v>164</v>
      </c>
      <c r="J968" s="9">
        <v>1</v>
      </c>
      <c r="K968" s="9">
        <v>163</v>
      </c>
      <c r="L968" s="9">
        <v>2024</v>
      </c>
      <c r="M968" s="8" t="s">
        <v>5992</v>
      </c>
      <c r="N968" s="8" t="s">
        <v>74</v>
      </c>
      <c r="O968" s="8" t="s">
        <v>75</v>
      </c>
      <c r="P968" s="6" t="s">
        <v>55</v>
      </c>
      <c r="Q968" s="8" t="s">
        <v>56</v>
      </c>
      <c r="R968" s="10" t="s">
        <v>5993</v>
      </c>
      <c r="S968" s="11" t="s">
        <v>5994</v>
      </c>
      <c r="T968" s="6"/>
      <c r="U968" s="28" t="str">
        <f>HYPERLINK("https://media.infra-m.ru/2147/2147919/cover/2147919.jpg", "Обложка")</f>
        <v>Обложка</v>
      </c>
      <c r="V968" s="28" t="str">
        <f>HYPERLINK("https://znanium.ru/catalog/product/966753", "Ознакомиться")</f>
        <v>Ознакомиться</v>
      </c>
      <c r="W968" s="8" t="s">
        <v>5995</v>
      </c>
      <c r="X968" s="6"/>
      <c r="Y968" s="6"/>
      <c r="Z968" s="6"/>
      <c r="AA968" s="6" t="s">
        <v>290</v>
      </c>
    </row>
    <row r="969" spans="1:27" s="4" customFormat="1" ht="51.95" customHeight="1">
      <c r="A969" s="5">
        <v>0</v>
      </c>
      <c r="B969" s="6" t="s">
        <v>5996</v>
      </c>
      <c r="C969" s="13">
        <v>670</v>
      </c>
      <c r="D969" s="8" t="s">
        <v>5997</v>
      </c>
      <c r="E969" s="8" t="s">
        <v>5998</v>
      </c>
      <c r="F969" s="8" t="s">
        <v>5999</v>
      </c>
      <c r="G969" s="6" t="s">
        <v>37</v>
      </c>
      <c r="H969" s="6" t="s">
        <v>317</v>
      </c>
      <c r="I969" s="8" t="s">
        <v>155</v>
      </c>
      <c r="J969" s="9">
        <v>1</v>
      </c>
      <c r="K969" s="9">
        <v>140</v>
      </c>
      <c r="L969" s="9">
        <v>2024</v>
      </c>
      <c r="M969" s="8" t="s">
        <v>6000</v>
      </c>
      <c r="N969" s="8" t="s">
        <v>74</v>
      </c>
      <c r="O969" s="8" t="s">
        <v>75</v>
      </c>
      <c r="P969" s="6" t="s">
        <v>55</v>
      </c>
      <c r="Q969" s="8" t="s">
        <v>56</v>
      </c>
      <c r="R969" s="10" t="s">
        <v>6001</v>
      </c>
      <c r="S969" s="11"/>
      <c r="T969" s="6"/>
      <c r="U969" s="28" t="str">
        <f>HYPERLINK("https://media.infra-m.ru/2119/2119106/cover/2119106.jpg", "Обложка")</f>
        <v>Обложка</v>
      </c>
      <c r="V969" s="28" t="str">
        <f>HYPERLINK("https://znanium.ru/catalog/product/2119106", "Ознакомиться")</f>
        <v>Ознакомиться</v>
      </c>
      <c r="W969" s="8" t="s">
        <v>1841</v>
      </c>
      <c r="X969" s="6"/>
      <c r="Y969" s="6"/>
      <c r="Z969" s="6"/>
      <c r="AA969" s="6" t="s">
        <v>78</v>
      </c>
    </row>
    <row r="970" spans="1:27" s="4" customFormat="1" ht="42" customHeight="1">
      <c r="A970" s="5">
        <v>0</v>
      </c>
      <c r="B970" s="6" t="s">
        <v>6002</v>
      </c>
      <c r="C970" s="7">
        <v>1269.9000000000001</v>
      </c>
      <c r="D970" s="8" t="s">
        <v>6003</v>
      </c>
      <c r="E970" s="8" t="s">
        <v>6004</v>
      </c>
      <c r="F970" s="8" t="s">
        <v>2040</v>
      </c>
      <c r="G970" s="6" t="s">
        <v>123</v>
      </c>
      <c r="H970" s="6" t="s">
        <v>317</v>
      </c>
      <c r="I970" s="8" t="s">
        <v>155</v>
      </c>
      <c r="J970" s="9">
        <v>1</v>
      </c>
      <c r="K970" s="9">
        <v>352</v>
      </c>
      <c r="L970" s="9">
        <v>2021</v>
      </c>
      <c r="M970" s="8" t="s">
        <v>6005</v>
      </c>
      <c r="N970" s="8" t="s">
        <v>74</v>
      </c>
      <c r="O970" s="8" t="s">
        <v>75</v>
      </c>
      <c r="P970" s="6" t="s">
        <v>55</v>
      </c>
      <c r="Q970" s="8" t="s">
        <v>56</v>
      </c>
      <c r="R970" s="10" t="s">
        <v>6006</v>
      </c>
      <c r="S970" s="11"/>
      <c r="T970" s="6"/>
      <c r="U970" s="28" t="str">
        <f>HYPERLINK("https://media.infra-m.ru/1145/1145164/cover/1145164.jpg", "Обложка")</f>
        <v>Обложка</v>
      </c>
      <c r="V970" s="28" t="str">
        <f>HYPERLINK("https://znanium.ru/catalog/product/1145164", "Ознакомиться")</f>
        <v>Ознакомиться</v>
      </c>
      <c r="W970" s="8" t="s">
        <v>1841</v>
      </c>
      <c r="X970" s="6"/>
      <c r="Y970" s="6"/>
      <c r="Z970" s="6"/>
      <c r="AA970" s="6" t="s">
        <v>193</v>
      </c>
    </row>
    <row r="971" spans="1:27" s="4" customFormat="1" ht="42" customHeight="1">
      <c r="A971" s="5">
        <v>0</v>
      </c>
      <c r="B971" s="6" t="s">
        <v>6007</v>
      </c>
      <c r="C971" s="7">
        <v>1484</v>
      </c>
      <c r="D971" s="8" t="s">
        <v>6008</v>
      </c>
      <c r="E971" s="8" t="s">
        <v>6009</v>
      </c>
      <c r="F971" s="8" t="s">
        <v>6010</v>
      </c>
      <c r="G971" s="6" t="s">
        <v>123</v>
      </c>
      <c r="H971" s="6" t="s">
        <v>38</v>
      </c>
      <c r="I971" s="8" t="s">
        <v>787</v>
      </c>
      <c r="J971" s="9">
        <v>1</v>
      </c>
      <c r="K971" s="9">
        <v>314</v>
      </c>
      <c r="L971" s="9">
        <v>2024</v>
      </c>
      <c r="M971" s="8" t="s">
        <v>6011</v>
      </c>
      <c r="N971" s="8" t="s">
        <v>41</v>
      </c>
      <c r="O971" s="8" t="s">
        <v>1299</v>
      </c>
      <c r="P971" s="6" t="s">
        <v>378</v>
      </c>
      <c r="Q971" s="8" t="s">
        <v>44</v>
      </c>
      <c r="R971" s="10" t="s">
        <v>6012</v>
      </c>
      <c r="S971" s="11"/>
      <c r="T971" s="6"/>
      <c r="U971" s="28" t="str">
        <f>HYPERLINK("https://media.infra-m.ru/2110/2110039/cover/2110039.jpg", "Обложка")</f>
        <v>Обложка</v>
      </c>
      <c r="V971" s="28" t="str">
        <f>HYPERLINK("https://znanium.ru/catalog/product/1042089", "Ознакомиться")</f>
        <v>Ознакомиться</v>
      </c>
      <c r="W971" s="8" t="s">
        <v>2900</v>
      </c>
      <c r="X971" s="6"/>
      <c r="Y971" s="6"/>
      <c r="Z971" s="6"/>
      <c r="AA971" s="6" t="s">
        <v>59</v>
      </c>
    </row>
    <row r="972" spans="1:27" s="4" customFormat="1" ht="42" customHeight="1">
      <c r="A972" s="5">
        <v>0</v>
      </c>
      <c r="B972" s="6" t="s">
        <v>6013</v>
      </c>
      <c r="C972" s="7">
        <v>1997</v>
      </c>
      <c r="D972" s="8" t="s">
        <v>6014</v>
      </c>
      <c r="E972" s="8" t="s">
        <v>6015</v>
      </c>
      <c r="F972" s="8" t="s">
        <v>6016</v>
      </c>
      <c r="G972" s="6" t="s">
        <v>123</v>
      </c>
      <c r="H972" s="6" t="s">
        <v>934</v>
      </c>
      <c r="I972" s="8" t="s">
        <v>787</v>
      </c>
      <c r="J972" s="9">
        <v>1</v>
      </c>
      <c r="K972" s="9">
        <v>629</v>
      </c>
      <c r="L972" s="9">
        <v>2024</v>
      </c>
      <c r="M972" s="8" t="s">
        <v>6017</v>
      </c>
      <c r="N972" s="8" t="s">
        <v>41</v>
      </c>
      <c r="O972" s="8" t="s">
        <v>1299</v>
      </c>
      <c r="P972" s="6" t="s">
        <v>378</v>
      </c>
      <c r="Q972" s="8" t="s">
        <v>44</v>
      </c>
      <c r="R972" s="10" t="s">
        <v>6018</v>
      </c>
      <c r="S972" s="11"/>
      <c r="T972" s="6"/>
      <c r="U972" s="28" t="str">
        <f>HYPERLINK("https://media.infra-m.ru/2129/2129190/cover/2129190.jpg", "Обложка")</f>
        <v>Обложка</v>
      </c>
      <c r="V972" s="28" t="str">
        <f>HYPERLINK("https://znanium.ru/catalog/product/1154378", "Ознакомиться")</f>
        <v>Ознакомиться</v>
      </c>
      <c r="W972" s="8" t="s">
        <v>6019</v>
      </c>
      <c r="X972" s="6"/>
      <c r="Y972" s="6"/>
      <c r="Z972" s="6"/>
      <c r="AA972" s="6" t="s">
        <v>274</v>
      </c>
    </row>
    <row r="973" spans="1:27" s="4" customFormat="1" ht="51.95" customHeight="1">
      <c r="A973" s="5">
        <v>0</v>
      </c>
      <c r="B973" s="6" t="s">
        <v>6020</v>
      </c>
      <c r="C973" s="13">
        <v>714.9</v>
      </c>
      <c r="D973" s="8" t="s">
        <v>6021</v>
      </c>
      <c r="E973" s="8" t="s">
        <v>6022</v>
      </c>
      <c r="F973" s="8" t="s">
        <v>1215</v>
      </c>
      <c r="G973" s="6" t="s">
        <v>37</v>
      </c>
      <c r="H973" s="6" t="s">
        <v>618</v>
      </c>
      <c r="I973" s="8"/>
      <c r="J973" s="9">
        <v>1</v>
      </c>
      <c r="K973" s="9">
        <v>240</v>
      </c>
      <c r="L973" s="9">
        <v>2020</v>
      </c>
      <c r="M973" s="8" t="s">
        <v>6023</v>
      </c>
      <c r="N973" s="8" t="s">
        <v>74</v>
      </c>
      <c r="O973" s="8" t="s">
        <v>93</v>
      </c>
      <c r="P973" s="6" t="s">
        <v>43</v>
      </c>
      <c r="Q973" s="8" t="s">
        <v>44</v>
      </c>
      <c r="R973" s="10" t="s">
        <v>6024</v>
      </c>
      <c r="S973" s="11"/>
      <c r="T973" s="6"/>
      <c r="U973" s="28" t="str">
        <f>HYPERLINK("https://media.infra-m.ru/1052/1052214/cover/1052214.jpg", "Обложка")</f>
        <v>Обложка</v>
      </c>
      <c r="V973" s="28" t="str">
        <f>HYPERLINK("https://znanium.ru/catalog/product/1859045", "Ознакомиться")</f>
        <v>Ознакомиться</v>
      </c>
      <c r="W973" s="8" t="s">
        <v>416</v>
      </c>
      <c r="X973" s="6"/>
      <c r="Y973" s="6"/>
      <c r="Z973" s="6"/>
      <c r="AA973" s="6" t="s">
        <v>6025</v>
      </c>
    </row>
    <row r="974" spans="1:27" s="4" customFormat="1" ht="51.95" customHeight="1">
      <c r="A974" s="5">
        <v>0</v>
      </c>
      <c r="B974" s="6" t="s">
        <v>6026</v>
      </c>
      <c r="C974" s="7">
        <v>1084.9000000000001</v>
      </c>
      <c r="D974" s="8" t="s">
        <v>6027</v>
      </c>
      <c r="E974" s="8" t="s">
        <v>6028</v>
      </c>
      <c r="F974" s="8" t="s">
        <v>1215</v>
      </c>
      <c r="G974" s="6" t="s">
        <v>37</v>
      </c>
      <c r="H974" s="6" t="s">
        <v>618</v>
      </c>
      <c r="I974" s="8"/>
      <c r="J974" s="9">
        <v>1</v>
      </c>
      <c r="K974" s="9">
        <v>240</v>
      </c>
      <c r="L974" s="9">
        <v>2023</v>
      </c>
      <c r="M974" s="8" t="s">
        <v>6023</v>
      </c>
      <c r="N974" s="8" t="s">
        <v>74</v>
      </c>
      <c r="O974" s="8" t="s">
        <v>93</v>
      </c>
      <c r="P974" s="6" t="s">
        <v>43</v>
      </c>
      <c r="Q974" s="8" t="s">
        <v>44</v>
      </c>
      <c r="R974" s="10" t="s">
        <v>6024</v>
      </c>
      <c r="S974" s="11"/>
      <c r="T974" s="6"/>
      <c r="U974" s="28" t="str">
        <f>HYPERLINK("https://media.infra-m.ru/2031/2031737/cover/2031737.jpg", "Обложка")</f>
        <v>Обложка</v>
      </c>
      <c r="V974" s="28" t="str">
        <f>HYPERLINK("https://znanium.ru/catalog/product/1859045", "Ознакомиться")</f>
        <v>Ознакомиться</v>
      </c>
      <c r="W974" s="8" t="s">
        <v>416</v>
      </c>
      <c r="X974" s="6"/>
      <c r="Y974" s="6"/>
      <c r="Z974" s="6"/>
      <c r="AA974" s="6" t="s">
        <v>1772</v>
      </c>
    </row>
    <row r="975" spans="1:27" s="4" customFormat="1" ht="51.95" customHeight="1">
      <c r="A975" s="5">
        <v>0</v>
      </c>
      <c r="B975" s="6" t="s">
        <v>6029</v>
      </c>
      <c r="C975" s="13">
        <v>770</v>
      </c>
      <c r="D975" s="8" t="s">
        <v>6030</v>
      </c>
      <c r="E975" s="8" t="s">
        <v>6031</v>
      </c>
      <c r="F975" s="8" t="s">
        <v>6032</v>
      </c>
      <c r="G975" s="6" t="s">
        <v>123</v>
      </c>
      <c r="H975" s="6" t="s">
        <v>38</v>
      </c>
      <c r="I975" s="8" t="s">
        <v>155</v>
      </c>
      <c r="J975" s="9">
        <v>1</v>
      </c>
      <c r="K975" s="9">
        <v>164</v>
      </c>
      <c r="L975" s="9">
        <v>2023</v>
      </c>
      <c r="M975" s="8" t="s">
        <v>6033</v>
      </c>
      <c r="N975" s="8" t="s">
        <v>74</v>
      </c>
      <c r="O975" s="8" t="s">
        <v>3660</v>
      </c>
      <c r="P975" s="6" t="s">
        <v>55</v>
      </c>
      <c r="Q975" s="8" t="s">
        <v>177</v>
      </c>
      <c r="R975" s="10" t="s">
        <v>6034</v>
      </c>
      <c r="S975" s="11" t="s">
        <v>6035</v>
      </c>
      <c r="T975" s="6"/>
      <c r="U975" s="28" t="str">
        <f>HYPERLINK("https://media.infra-m.ru/1971/1971854/cover/1971854.jpg", "Обложка")</f>
        <v>Обложка</v>
      </c>
      <c r="V975" s="28" t="str">
        <f>HYPERLINK("https://znanium.ru/catalog/product/1971854", "Ознакомиться")</f>
        <v>Ознакомиться</v>
      </c>
      <c r="W975" s="8" t="s">
        <v>6036</v>
      </c>
      <c r="X975" s="6"/>
      <c r="Y975" s="6"/>
      <c r="Z975" s="6"/>
      <c r="AA975" s="6" t="s">
        <v>111</v>
      </c>
    </row>
    <row r="976" spans="1:27" s="4" customFormat="1" ht="51.95" customHeight="1">
      <c r="A976" s="5">
        <v>0</v>
      </c>
      <c r="B976" s="6" t="s">
        <v>6037</v>
      </c>
      <c r="C976" s="7">
        <v>1470</v>
      </c>
      <c r="D976" s="8" t="s">
        <v>6038</v>
      </c>
      <c r="E976" s="8" t="s">
        <v>6039</v>
      </c>
      <c r="F976" s="8" t="s">
        <v>6040</v>
      </c>
      <c r="G976" s="6" t="s">
        <v>37</v>
      </c>
      <c r="H976" s="6" t="s">
        <v>38</v>
      </c>
      <c r="I976" s="8" t="s">
        <v>39</v>
      </c>
      <c r="J976" s="9">
        <v>1</v>
      </c>
      <c r="K976" s="9">
        <v>320</v>
      </c>
      <c r="L976" s="9">
        <v>2024</v>
      </c>
      <c r="M976" s="8" t="s">
        <v>6041</v>
      </c>
      <c r="N976" s="8" t="s">
        <v>74</v>
      </c>
      <c r="O976" s="8" t="s">
        <v>3660</v>
      </c>
      <c r="P976" s="6" t="s">
        <v>43</v>
      </c>
      <c r="Q976" s="8" t="s">
        <v>44</v>
      </c>
      <c r="R976" s="10" t="s">
        <v>6042</v>
      </c>
      <c r="S976" s="11"/>
      <c r="T976" s="6"/>
      <c r="U976" s="28" t="str">
        <f>HYPERLINK("https://media.infra-m.ru/2087/2087324/cover/2087324.jpg", "Обложка")</f>
        <v>Обложка</v>
      </c>
      <c r="V976" s="28" t="str">
        <f>HYPERLINK("https://znanium.ru/catalog/product/2087324", "Ознакомиться")</f>
        <v>Ознакомиться</v>
      </c>
      <c r="W976" s="8" t="s">
        <v>6043</v>
      </c>
      <c r="X976" s="6"/>
      <c r="Y976" s="6"/>
      <c r="Z976" s="6"/>
      <c r="AA976" s="6" t="s">
        <v>141</v>
      </c>
    </row>
    <row r="977" spans="1:27" s="4" customFormat="1" ht="51.95" customHeight="1">
      <c r="A977" s="5">
        <v>0</v>
      </c>
      <c r="B977" s="6" t="s">
        <v>6044</v>
      </c>
      <c r="C977" s="7">
        <v>1754.9</v>
      </c>
      <c r="D977" s="8" t="s">
        <v>6045</v>
      </c>
      <c r="E977" s="8" t="s">
        <v>6046</v>
      </c>
      <c r="F977" s="8" t="s">
        <v>406</v>
      </c>
      <c r="G977" s="6" t="s">
        <v>83</v>
      </c>
      <c r="H977" s="6" t="s">
        <v>38</v>
      </c>
      <c r="I977" s="8" t="s">
        <v>39</v>
      </c>
      <c r="J977" s="9">
        <v>1</v>
      </c>
      <c r="K977" s="9">
        <v>390</v>
      </c>
      <c r="L977" s="9">
        <v>2023</v>
      </c>
      <c r="M977" s="8" t="s">
        <v>6047</v>
      </c>
      <c r="N977" s="8" t="s">
        <v>74</v>
      </c>
      <c r="O977" s="8" t="s">
        <v>75</v>
      </c>
      <c r="P977" s="6" t="s">
        <v>43</v>
      </c>
      <c r="Q977" s="8" t="s">
        <v>44</v>
      </c>
      <c r="R977" s="10" t="s">
        <v>387</v>
      </c>
      <c r="S977" s="11"/>
      <c r="T977" s="6"/>
      <c r="U977" s="28" t="str">
        <f>HYPERLINK("https://media.infra-m.ru/2002/2002602/cover/2002602.jpg", "Обложка")</f>
        <v>Обложка</v>
      </c>
      <c r="V977" s="28" t="str">
        <f>HYPERLINK("https://znanium.ru/catalog/product/987752", "Ознакомиться")</f>
        <v>Ознакомиться</v>
      </c>
      <c r="W977" s="8" t="s">
        <v>409</v>
      </c>
      <c r="X977" s="6"/>
      <c r="Y977" s="6"/>
      <c r="Z977" s="6"/>
      <c r="AA977" s="6" t="s">
        <v>1772</v>
      </c>
    </row>
    <row r="978" spans="1:27" s="4" customFormat="1" ht="51.95" customHeight="1">
      <c r="A978" s="5">
        <v>0</v>
      </c>
      <c r="B978" s="6" t="s">
        <v>6048</v>
      </c>
      <c r="C978" s="7">
        <v>2990</v>
      </c>
      <c r="D978" s="8" t="s">
        <v>6049</v>
      </c>
      <c r="E978" s="8" t="s">
        <v>6050</v>
      </c>
      <c r="F978" s="8" t="s">
        <v>6051</v>
      </c>
      <c r="G978" s="6" t="s">
        <v>123</v>
      </c>
      <c r="H978" s="6" t="s">
        <v>317</v>
      </c>
      <c r="I978" s="8" t="s">
        <v>6052</v>
      </c>
      <c r="J978" s="9">
        <v>1</v>
      </c>
      <c r="K978" s="9">
        <v>716</v>
      </c>
      <c r="L978" s="9">
        <v>2024</v>
      </c>
      <c r="M978" s="8" t="s">
        <v>6053</v>
      </c>
      <c r="N978" s="8" t="s">
        <v>41</v>
      </c>
      <c r="O978" s="8" t="s">
        <v>65</v>
      </c>
      <c r="P978" s="6" t="s">
        <v>1300</v>
      </c>
      <c r="Q978" s="8" t="s">
        <v>44</v>
      </c>
      <c r="R978" s="10" t="s">
        <v>6054</v>
      </c>
      <c r="S978" s="11"/>
      <c r="T978" s="6"/>
      <c r="U978" s="28" t="str">
        <f>HYPERLINK("https://media.infra-m.ru/2079/2079681/cover/2079681.jpg", "Обложка")</f>
        <v>Обложка</v>
      </c>
      <c r="V978" s="28" t="str">
        <f>HYPERLINK("https://znanium.ru/catalog/product/2079681", "Ознакомиться")</f>
        <v>Ознакомиться</v>
      </c>
      <c r="W978" s="8"/>
      <c r="X978" s="6"/>
      <c r="Y978" s="6"/>
      <c r="Z978" s="6"/>
      <c r="AA978" s="6" t="s">
        <v>78</v>
      </c>
    </row>
    <row r="979" spans="1:27" s="4" customFormat="1" ht="51.95" customHeight="1">
      <c r="A979" s="5">
        <v>0</v>
      </c>
      <c r="B979" s="6" t="s">
        <v>6055</v>
      </c>
      <c r="C979" s="7">
        <v>1990</v>
      </c>
      <c r="D979" s="8" t="s">
        <v>6056</v>
      </c>
      <c r="E979" s="8" t="s">
        <v>6057</v>
      </c>
      <c r="F979" s="8" t="s">
        <v>3493</v>
      </c>
      <c r="G979" s="6" t="s">
        <v>123</v>
      </c>
      <c r="H979" s="6" t="s">
        <v>38</v>
      </c>
      <c r="I979" s="8" t="s">
        <v>155</v>
      </c>
      <c r="J979" s="9">
        <v>1</v>
      </c>
      <c r="K979" s="9">
        <v>688</v>
      </c>
      <c r="L979" s="9">
        <v>2023</v>
      </c>
      <c r="M979" s="8" t="s">
        <v>6058</v>
      </c>
      <c r="N979" s="8" t="s">
        <v>41</v>
      </c>
      <c r="O979" s="8" t="s">
        <v>65</v>
      </c>
      <c r="P979" s="6" t="s">
        <v>176</v>
      </c>
      <c r="Q979" s="8" t="s">
        <v>177</v>
      </c>
      <c r="R979" s="10" t="s">
        <v>6059</v>
      </c>
      <c r="S979" s="11" t="s">
        <v>6060</v>
      </c>
      <c r="T979" s="6"/>
      <c r="U979" s="28" t="str">
        <f>HYPERLINK("https://media.infra-m.ru/2020/2020558/cover/2020558.jpg", "Обложка")</f>
        <v>Обложка</v>
      </c>
      <c r="V979" s="28" t="str">
        <f>HYPERLINK("https://znanium.ru/catalog/product/2020558", "Ознакомиться")</f>
        <v>Ознакомиться</v>
      </c>
      <c r="W979" s="8" t="s">
        <v>3497</v>
      </c>
      <c r="X979" s="6"/>
      <c r="Y979" s="6"/>
      <c r="Z979" s="6"/>
      <c r="AA979" s="6" t="s">
        <v>2111</v>
      </c>
    </row>
    <row r="980" spans="1:27" s="4" customFormat="1" ht="51.95" customHeight="1">
      <c r="A980" s="5">
        <v>0</v>
      </c>
      <c r="B980" s="6" t="s">
        <v>6061</v>
      </c>
      <c r="C980" s="13">
        <v>800</v>
      </c>
      <c r="D980" s="8" t="s">
        <v>6062</v>
      </c>
      <c r="E980" s="8" t="s">
        <v>6063</v>
      </c>
      <c r="F980" s="8" t="s">
        <v>6064</v>
      </c>
      <c r="G980" s="6" t="s">
        <v>83</v>
      </c>
      <c r="H980" s="6" t="s">
        <v>38</v>
      </c>
      <c r="I980" s="8" t="s">
        <v>164</v>
      </c>
      <c r="J980" s="9">
        <v>1</v>
      </c>
      <c r="K980" s="9">
        <v>171</v>
      </c>
      <c r="L980" s="9">
        <v>2024</v>
      </c>
      <c r="M980" s="8" t="s">
        <v>6065</v>
      </c>
      <c r="N980" s="8" t="s">
        <v>41</v>
      </c>
      <c r="O980" s="8" t="s">
        <v>65</v>
      </c>
      <c r="P980" s="6" t="s">
        <v>55</v>
      </c>
      <c r="Q980" s="8" t="s">
        <v>56</v>
      </c>
      <c r="R980" s="10" t="s">
        <v>6066</v>
      </c>
      <c r="S980" s="11" t="s">
        <v>6067</v>
      </c>
      <c r="T980" s="6"/>
      <c r="U980" s="28" t="str">
        <f>HYPERLINK("https://media.infra-m.ru/2126/2126287/cover/2126287.jpg", "Обложка")</f>
        <v>Обложка</v>
      </c>
      <c r="V980" s="28" t="str">
        <f>HYPERLINK("https://znanium.ru/catalog/product/2126287", "Ознакомиться")</f>
        <v>Ознакомиться</v>
      </c>
      <c r="W980" s="8" t="s">
        <v>1530</v>
      </c>
      <c r="X980" s="6"/>
      <c r="Y980" s="6"/>
      <c r="Z980" s="6"/>
      <c r="AA980" s="6" t="s">
        <v>47</v>
      </c>
    </row>
    <row r="981" spans="1:27" s="4" customFormat="1" ht="51.95" customHeight="1">
      <c r="A981" s="5">
        <v>0</v>
      </c>
      <c r="B981" s="6" t="s">
        <v>6068</v>
      </c>
      <c r="C981" s="13">
        <v>404.9</v>
      </c>
      <c r="D981" s="8" t="s">
        <v>6069</v>
      </c>
      <c r="E981" s="8" t="s">
        <v>6070</v>
      </c>
      <c r="F981" s="8" t="s">
        <v>1796</v>
      </c>
      <c r="G981" s="6" t="s">
        <v>37</v>
      </c>
      <c r="H981" s="6" t="s">
        <v>38</v>
      </c>
      <c r="I981" s="8" t="s">
        <v>39</v>
      </c>
      <c r="J981" s="9">
        <v>1</v>
      </c>
      <c r="K981" s="9">
        <v>120</v>
      </c>
      <c r="L981" s="9">
        <v>2019</v>
      </c>
      <c r="M981" s="8" t="s">
        <v>6071</v>
      </c>
      <c r="N981" s="8" t="s">
        <v>41</v>
      </c>
      <c r="O981" s="8" t="s">
        <v>65</v>
      </c>
      <c r="P981" s="6" t="s">
        <v>43</v>
      </c>
      <c r="Q981" s="8" t="s">
        <v>44</v>
      </c>
      <c r="R981" s="10" t="s">
        <v>6072</v>
      </c>
      <c r="S981" s="11"/>
      <c r="T981" s="6"/>
      <c r="U981" s="28" t="str">
        <f>HYPERLINK("https://media.infra-m.ru/1013/1013452/cover/1013452.jpg", "Обложка")</f>
        <v>Обложка</v>
      </c>
      <c r="V981" s="28" t="str">
        <f>HYPERLINK("https://znanium.ru/catalog/product/1013452", "Ознакомиться")</f>
        <v>Ознакомиться</v>
      </c>
      <c r="W981" s="8" t="s">
        <v>402</v>
      </c>
      <c r="X981" s="6"/>
      <c r="Y981" s="6"/>
      <c r="Z981" s="6"/>
      <c r="AA981" s="6" t="s">
        <v>290</v>
      </c>
    </row>
    <row r="982" spans="1:27" s="4" customFormat="1" ht="42" customHeight="1">
      <c r="A982" s="5">
        <v>0</v>
      </c>
      <c r="B982" s="6" t="s">
        <v>6073</v>
      </c>
      <c r="C982" s="7">
        <v>1990</v>
      </c>
      <c r="D982" s="8" t="s">
        <v>6074</v>
      </c>
      <c r="E982" s="8" t="s">
        <v>6075</v>
      </c>
      <c r="F982" s="8" t="s">
        <v>6076</v>
      </c>
      <c r="G982" s="6" t="s">
        <v>123</v>
      </c>
      <c r="H982" s="6" t="s">
        <v>38</v>
      </c>
      <c r="I982" s="8" t="s">
        <v>39</v>
      </c>
      <c r="J982" s="9">
        <v>1</v>
      </c>
      <c r="K982" s="9">
        <v>640</v>
      </c>
      <c r="L982" s="9">
        <v>2021</v>
      </c>
      <c r="M982" s="8" t="s">
        <v>6077</v>
      </c>
      <c r="N982" s="8" t="s">
        <v>74</v>
      </c>
      <c r="O982" s="8" t="s">
        <v>93</v>
      </c>
      <c r="P982" s="6" t="s">
        <v>43</v>
      </c>
      <c r="Q982" s="8" t="s">
        <v>44</v>
      </c>
      <c r="R982" s="10" t="s">
        <v>225</v>
      </c>
      <c r="S982" s="11"/>
      <c r="T982" s="6"/>
      <c r="U982" s="28" t="str">
        <f>HYPERLINK("https://media.infra-m.ru/1078/1078147/cover/1078147.jpg", "Обложка")</f>
        <v>Обложка</v>
      </c>
      <c r="V982" s="28" t="str">
        <f>HYPERLINK("https://znanium.ru/catalog/product/1078147", "Ознакомиться")</f>
        <v>Ознакомиться</v>
      </c>
      <c r="W982" s="8" t="s">
        <v>3506</v>
      </c>
      <c r="X982" s="6"/>
      <c r="Y982" s="6"/>
      <c r="Z982" s="6"/>
      <c r="AA982" s="6" t="s">
        <v>193</v>
      </c>
    </row>
    <row r="983" spans="1:27" s="4" customFormat="1" ht="42" customHeight="1">
      <c r="A983" s="5">
        <v>0</v>
      </c>
      <c r="B983" s="6" t="s">
        <v>6078</v>
      </c>
      <c r="C983" s="13">
        <v>644.9</v>
      </c>
      <c r="D983" s="8" t="s">
        <v>6079</v>
      </c>
      <c r="E983" s="8" t="s">
        <v>6080</v>
      </c>
      <c r="F983" s="8" t="s">
        <v>4842</v>
      </c>
      <c r="G983" s="6" t="s">
        <v>123</v>
      </c>
      <c r="H983" s="6" t="s">
        <v>317</v>
      </c>
      <c r="I983" s="8" t="s">
        <v>164</v>
      </c>
      <c r="J983" s="9">
        <v>1</v>
      </c>
      <c r="K983" s="9">
        <v>144</v>
      </c>
      <c r="L983" s="9">
        <v>2022</v>
      </c>
      <c r="M983" s="8" t="s">
        <v>6081</v>
      </c>
      <c r="N983" s="8" t="s">
        <v>41</v>
      </c>
      <c r="O983" s="8" t="s">
        <v>65</v>
      </c>
      <c r="P983" s="6" t="s">
        <v>55</v>
      </c>
      <c r="Q983" s="8" t="s">
        <v>56</v>
      </c>
      <c r="R983" s="10" t="s">
        <v>5014</v>
      </c>
      <c r="S983" s="11"/>
      <c r="T983" s="6"/>
      <c r="U983" s="28" t="str">
        <f>HYPERLINK("https://media.infra-m.ru/1865/1865647/cover/1865647.jpg", "Обложка")</f>
        <v>Обложка</v>
      </c>
      <c r="V983" s="28" t="str">
        <f>HYPERLINK("https://znanium.ru/catalog/product/1231016", "Ознакомиться")</f>
        <v>Ознакомиться</v>
      </c>
      <c r="W983" s="8" t="s">
        <v>1841</v>
      </c>
      <c r="X983" s="6"/>
      <c r="Y983" s="6"/>
      <c r="Z983" s="6"/>
      <c r="AA983" s="6" t="s">
        <v>364</v>
      </c>
    </row>
    <row r="984" spans="1:27" s="4" customFormat="1" ht="51.95" customHeight="1">
      <c r="A984" s="5">
        <v>0</v>
      </c>
      <c r="B984" s="6" t="s">
        <v>6082</v>
      </c>
      <c r="C984" s="7">
        <v>1250</v>
      </c>
      <c r="D984" s="8" t="s">
        <v>6083</v>
      </c>
      <c r="E984" s="8" t="s">
        <v>6084</v>
      </c>
      <c r="F984" s="8" t="s">
        <v>6085</v>
      </c>
      <c r="G984" s="6" t="s">
        <v>83</v>
      </c>
      <c r="H984" s="6" t="s">
        <v>38</v>
      </c>
      <c r="I984" s="8" t="s">
        <v>155</v>
      </c>
      <c r="J984" s="9">
        <v>1</v>
      </c>
      <c r="K984" s="9">
        <v>272</v>
      </c>
      <c r="L984" s="9">
        <v>2024</v>
      </c>
      <c r="M984" s="8" t="s">
        <v>6086</v>
      </c>
      <c r="N984" s="8" t="s">
        <v>41</v>
      </c>
      <c r="O984" s="8" t="s">
        <v>65</v>
      </c>
      <c r="P984" s="6" t="s">
        <v>55</v>
      </c>
      <c r="Q984" s="8" t="s">
        <v>56</v>
      </c>
      <c r="R984" s="10" t="s">
        <v>6087</v>
      </c>
      <c r="S984" s="11" t="s">
        <v>6088</v>
      </c>
      <c r="T984" s="6"/>
      <c r="U984" s="28" t="str">
        <f>HYPERLINK("https://media.infra-m.ru/2104/2104846/cover/2104846.jpg", "Обложка")</f>
        <v>Обложка</v>
      </c>
      <c r="V984" s="28" t="str">
        <f>HYPERLINK("https://znanium.ru/catalog/product/2104846", "Ознакомиться")</f>
        <v>Ознакомиться</v>
      </c>
      <c r="W984" s="8" t="s">
        <v>6089</v>
      </c>
      <c r="X984" s="6"/>
      <c r="Y984" s="6"/>
      <c r="Z984" s="6"/>
      <c r="AA984" s="6" t="s">
        <v>274</v>
      </c>
    </row>
    <row r="985" spans="1:27" s="4" customFormat="1" ht="51.95" customHeight="1">
      <c r="A985" s="5">
        <v>0</v>
      </c>
      <c r="B985" s="6" t="s">
        <v>6090</v>
      </c>
      <c r="C985" s="13">
        <v>540</v>
      </c>
      <c r="D985" s="8" t="s">
        <v>6091</v>
      </c>
      <c r="E985" s="8" t="s">
        <v>6084</v>
      </c>
      <c r="F985" s="8" t="s">
        <v>4735</v>
      </c>
      <c r="G985" s="6" t="s">
        <v>123</v>
      </c>
      <c r="H985" s="6" t="s">
        <v>38</v>
      </c>
      <c r="I985" s="8" t="s">
        <v>164</v>
      </c>
      <c r="J985" s="9">
        <v>1</v>
      </c>
      <c r="K985" s="9">
        <v>157</v>
      </c>
      <c r="L985" s="9">
        <v>2020</v>
      </c>
      <c r="M985" s="8" t="s">
        <v>6092</v>
      </c>
      <c r="N985" s="8" t="s">
        <v>41</v>
      </c>
      <c r="O985" s="8" t="s">
        <v>65</v>
      </c>
      <c r="P985" s="6" t="s">
        <v>55</v>
      </c>
      <c r="Q985" s="8" t="s">
        <v>56</v>
      </c>
      <c r="R985" s="10" t="s">
        <v>6093</v>
      </c>
      <c r="S985" s="11" t="s">
        <v>6094</v>
      </c>
      <c r="T985" s="6"/>
      <c r="U985" s="28" t="str">
        <f>HYPERLINK("https://media.infra-m.ru/1081/1081980/cover/1081980.jpg", "Обложка")</f>
        <v>Обложка</v>
      </c>
      <c r="V985" s="28" t="str">
        <f>HYPERLINK("https://znanium.ru/catalog/product/2091913", "Ознакомиться")</f>
        <v>Ознакомиться</v>
      </c>
      <c r="W985" s="8" t="s">
        <v>297</v>
      </c>
      <c r="X985" s="6"/>
      <c r="Y985" s="6"/>
      <c r="Z985" s="6"/>
      <c r="AA985" s="6" t="s">
        <v>59</v>
      </c>
    </row>
    <row r="986" spans="1:27" s="4" customFormat="1" ht="51.95" customHeight="1">
      <c r="A986" s="5">
        <v>0</v>
      </c>
      <c r="B986" s="6" t="s">
        <v>6095</v>
      </c>
      <c r="C986" s="13">
        <v>880</v>
      </c>
      <c r="D986" s="8" t="s">
        <v>6096</v>
      </c>
      <c r="E986" s="8" t="s">
        <v>6097</v>
      </c>
      <c r="F986" s="8" t="s">
        <v>4735</v>
      </c>
      <c r="G986" s="6" t="s">
        <v>83</v>
      </c>
      <c r="H986" s="6" t="s">
        <v>38</v>
      </c>
      <c r="I986" s="8" t="s">
        <v>155</v>
      </c>
      <c r="J986" s="9">
        <v>1</v>
      </c>
      <c r="K986" s="9">
        <v>184</v>
      </c>
      <c r="L986" s="9">
        <v>2024</v>
      </c>
      <c r="M986" s="8" t="s">
        <v>6098</v>
      </c>
      <c r="N986" s="8" t="s">
        <v>41</v>
      </c>
      <c r="O986" s="8" t="s">
        <v>65</v>
      </c>
      <c r="P986" s="6" t="s">
        <v>55</v>
      </c>
      <c r="Q986" s="8" t="s">
        <v>56</v>
      </c>
      <c r="R986" s="10" t="s">
        <v>6093</v>
      </c>
      <c r="S986" s="11" t="s">
        <v>6099</v>
      </c>
      <c r="T986" s="6"/>
      <c r="U986" s="28" t="str">
        <f>HYPERLINK("https://media.infra-m.ru/2091/2091913/cover/2091913.jpg", "Обложка")</f>
        <v>Обложка</v>
      </c>
      <c r="V986" s="28" t="str">
        <f>HYPERLINK("https://znanium.ru/catalog/product/2091913", "Ознакомиться")</f>
        <v>Ознакомиться</v>
      </c>
      <c r="W986" s="8" t="s">
        <v>297</v>
      </c>
      <c r="X986" s="6"/>
      <c r="Y986" s="6"/>
      <c r="Z986" s="6"/>
      <c r="AA986" s="6" t="s">
        <v>1006</v>
      </c>
    </row>
    <row r="987" spans="1:27" s="4" customFormat="1" ht="51.95" customHeight="1">
      <c r="A987" s="5">
        <v>0</v>
      </c>
      <c r="B987" s="6" t="s">
        <v>6100</v>
      </c>
      <c r="C987" s="7">
        <v>1080</v>
      </c>
      <c r="D987" s="8" t="s">
        <v>6101</v>
      </c>
      <c r="E987" s="8" t="s">
        <v>6102</v>
      </c>
      <c r="F987" s="8" t="s">
        <v>3954</v>
      </c>
      <c r="G987" s="6" t="s">
        <v>83</v>
      </c>
      <c r="H987" s="6" t="s">
        <v>38</v>
      </c>
      <c r="I987" s="8" t="s">
        <v>155</v>
      </c>
      <c r="J987" s="9">
        <v>1</v>
      </c>
      <c r="K987" s="9">
        <v>227</v>
      </c>
      <c r="L987" s="9">
        <v>2024</v>
      </c>
      <c r="M987" s="8" t="s">
        <v>6103</v>
      </c>
      <c r="N987" s="8" t="s">
        <v>74</v>
      </c>
      <c r="O987" s="8" t="s">
        <v>109</v>
      </c>
      <c r="P987" s="6" t="s">
        <v>55</v>
      </c>
      <c r="Q987" s="8" t="s">
        <v>56</v>
      </c>
      <c r="R987" s="10" t="s">
        <v>6104</v>
      </c>
      <c r="S987" s="11" t="s">
        <v>6105</v>
      </c>
      <c r="T987" s="6"/>
      <c r="U987" s="28" t="str">
        <f>HYPERLINK("https://media.infra-m.ru/2134/2134339/cover/2134339.jpg", "Обложка")</f>
        <v>Обложка</v>
      </c>
      <c r="V987" s="28" t="str">
        <f>HYPERLINK("https://znanium.ru/catalog/product/2134339", "Ознакомиться")</f>
        <v>Ознакомиться</v>
      </c>
      <c r="W987" s="8" t="s">
        <v>2726</v>
      </c>
      <c r="X987" s="6"/>
      <c r="Y987" s="6"/>
      <c r="Z987" s="6"/>
      <c r="AA987" s="6" t="s">
        <v>6106</v>
      </c>
    </row>
    <row r="988" spans="1:27" s="4" customFormat="1" ht="51.95" customHeight="1">
      <c r="A988" s="5">
        <v>0</v>
      </c>
      <c r="B988" s="6" t="s">
        <v>6107</v>
      </c>
      <c r="C988" s="7">
        <v>2190</v>
      </c>
      <c r="D988" s="8" t="s">
        <v>6108</v>
      </c>
      <c r="E988" s="8" t="s">
        <v>6109</v>
      </c>
      <c r="F988" s="8" t="s">
        <v>6110</v>
      </c>
      <c r="G988" s="6" t="s">
        <v>123</v>
      </c>
      <c r="H988" s="6" t="s">
        <v>38</v>
      </c>
      <c r="I988" s="8" t="s">
        <v>164</v>
      </c>
      <c r="J988" s="9">
        <v>1</v>
      </c>
      <c r="K988" s="9">
        <v>511</v>
      </c>
      <c r="L988" s="9">
        <v>2023</v>
      </c>
      <c r="M988" s="8" t="s">
        <v>6111</v>
      </c>
      <c r="N988" s="8" t="s">
        <v>74</v>
      </c>
      <c r="O988" s="8" t="s">
        <v>109</v>
      </c>
      <c r="P988" s="6" t="s">
        <v>176</v>
      </c>
      <c r="Q988" s="8" t="s">
        <v>56</v>
      </c>
      <c r="R988" s="10" t="s">
        <v>6112</v>
      </c>
      <c r="S988" s="11" t="s">
        <v>6113</v>
      </c>
      <c r="T988" s="6" t="s">
        <v>190</v>
      </c>
      <c r="U988" s="28" t="str">
        <f>HYPERLINK("https://media.infra-m.ru/1860/1860811/cover/1860811.jpg", "Обложка")</f>
        <v>Обложка</v>
      </c>
      <c r="V988" s="28" t="str">
        <f>HYPERLINK("https://znanium.ru/catalog/product/1860811", "Ознакомиться")</f>
        <v>Ознакомиться</v>
      </c>
      <c r="W988" s="8" t="s">
        <v>1508</v>
      </c>
      <c r="X988" s="6"/>
      <c r="Y988" s="6"/>
      <c r="Z988" s="6"/>
      <c r="AA988" s="6" t="s">
        <v>1772</v>
      </c>
    </row>
    <row r="989" spans="1:27" s="4" customFormat="1" ht="51.95" customHeight="1">
      <c r="A989" s="5">
        <v>0</v>
      </c>
      <c r="B989" s="6" t="s">
        <v>6114</v>
      </c>
      <c r="C989" s="7">
        <v>1084.9000000000001</v>
      </c>
      <c r="D989" s="8" t="s">
        <v>6115</v>
      </c>
      <c r="E989" s="8" t="s">
        <v>6116</v>
      </c>
      <c r="F989" s="8" t="s">
        <v>6117</v>
      </c>
      <c r="G989" s="6" t="s">
        <v>123</v>
      </c>
      <c r="H989" s="6" t="s">
        <v>470</v>
      </c>
      <c r="I989" s="8"/>
      <c r="J989" s="9">
        <v>1</v>
      </c>
      <c r="K989" s="9">
        <v>320</v>
      </c>
      <c r="L989" s="9">
        <v>2020</v>
      </c>
      <c r="M989" s="8" t="s">
        <v>6118</v>
      </c>
      <c r="N989" s="8" t="s">
        <v>74</v>
      </c>
      <c r="O989" s="8" t="s">
        <v>109</v>
      </c>
      <c r="P989" s="6" t="s">
        <v>55</v>
      </c>
      <c r="Q989" s="8" t="s">
        <v>594</v>
      </c>
      <c r="R989" s="10" t="s">
        <v>6119</v>
      </c>
      <c r="S989" s="11"/>
      <c r="T989" s="6"/>
      <c r="U989" s="28" t="str">
        <f>HYPERLINK("https://media.infra-m.ru/1063/1063693/cover/1063693.jpg", "Обложка")</f>
        <v>Обложка</v>
      </c>
      <c r="V989" s="28" t="str">
        <f>HYPERLINK("https://znanium.ru/catalog/product/1852220", "Ознакомиться")</f>
        <v>Ознакомиться</v>
      </c>
      <c r="W989" s="8" t="s">
        <v>1679</v>
      </c>
      <c r="X989" s="6"/>
      <c r="Y989" s="6"/>
      <c r="Z989" s="6"/>
      <c r="AA989" s="6" t="s">
        <v>381</v>
      </c>
    </row>
    <row r="990" spans="1:27" s="4" customFormat="1" ht="51.95" customHeight="1">
      <c r="A990" s="5">
        <v>0</v>
      </c>
      <c r="B990" s="6" t="s">
        <v>6120</v>
      </c>
      <c r="C990" s="13">
        <v>990</v>
      </c>
      <c r="D990" s="8" t="s">
        <v>6121</v>
      </c>
      <c r="E990" s="8" t="s">
        <v>6122</v>
      </c>
      <c r="F990" s="8" t="s">
        <v>6123</v>
      </c>
      <c r="G990" s="6" t="s">
        <v>83</v>
      </c>
      <c r="H990" s="6" t="s">
        <v>38</v>
      </c>
      <c r="I990" s="8" t="s">
        <v>164</v>
      </c>
      <c r="J990" s="9">
        <v>1</v>
      </c>
      <c r="K990" s="9">
        <v>262</v>
      </c>
      <c r="L990" s="9">
        <v>2022</v>
      </c>
      <c r="M990" s="8" t="s">
        <v>6124</v>
      </c>
      <c r="N990" s="8" t="s">
        <v>74</v>
      </c>
      <c r="O990" s="8" t="s">
        <v>109</v>
      </c>
      <c r="P990" s="6" t="s">
        <v>55</v>
      </c>
      <c r="Q990" s="8" t="s">
        <v>56</v>
      </c>
      <c r="R990" s="10" t="s">
        <v>6125</v>
      </c>
      <c r="S990" s="11" t="s">
        <v>6126</v>
      </c>
      <c r="T990" s="6"/>
      <c r="U990" s="28" t="str">
        <f>HYPERLINK("https://media.infra-m.ru/1864/1864123/cover/1864123.jpg", "Обложка")</f>
        <v>Обложка</v>
      </c>
      <c r="V990" s="28" t="str">
        <f>HYPERLINK("https://znanium.ru/catalog/product/1864123", "Ознакомиться")</f>
        <v>Ознакомиться</v>
      </c>
      <c r="W990" s="8" t="s">
        <v>1679</v>
      </c>
      <c r="X990" s="6"/>
      <c r="Y990" s="6"/>
      <c r="Z990" s="6"/>
      <c r="AA990" s="6" t="s">
        <v>141</v>
      </c>
    </row>
    <row r="991" spans="1:27" s="4" customFormat="1" ht="51.95" customHeight="1">
      <c r="A991" s="5">
        <v>0</v>
      </c>
      <c r="B991" s="6" t="s">
        <v>6127</v>
      </c>
      <c r="C991" s="7">
        <v>1830</v>
      </c>
      <c r="D991" s="8" t="s">
        <v>6128</v>
      </c>
      <c r="E991" s="8" t="s">
        <v>6129</v>
      </c>
      <c r="F991" s="8" t="s">
        <v>6130</v>
      </c>
      <c r="G991" s="6" t="s">
        <v>83</v>
      </c>
      <c r="H991" s="6" t="s">
        <v>38</v>
      </c>
      <c r="I991" s="8" t="s">
        <v>39</v>
      </c>
      <c r="J991" s="9">
        <v>1</v>
      </c>
      <c r="K991" s="9">
        <v>389</v>
      </c>
      <c r="L991" s="9">
        <v>2024</v>
      </c>
      <c r="M991" s="8" t="s">
        <v>6131</v>
      </c>
      <c r="N991" s="8" t="s">
        <v>74</v>
      </c>
      <c r="O991" s="8" t="s">
        <v>109</v>
      </c>
      <c r="P991" s="6" t="s">
        <v>43</v>
      </c>
      <c r="Q991" s="8" t="s">
        <v>44</v>
      </c>
      <c r="R991" s="10" t="s">
        <v>6132</v>
      </c>
      <c r="S991" s="11"/>
      <c r="T991" s="6"/>
      <c r="U991" s="28" t="str">
        <f>HYPERLINK("https://media.infra-m.ru/2138/2138937/cover/2138937.jpg", "Обложка")</f>
        <v>Обложка</v>
      </c>
      <c r="V991" s="28" t="str">
        <f>HYPERLINK("https://znanium.ru/catalog/product/2138937", "Ознакомиться")</f>
        <v>Ознакомиться</v>
      </c>
      <c r="W991" s="8" t="s">
        <v>998</v>
      </c>
      <c r="X991" s="6"/>
      <c r="Y991" s="6" t="s">
        <v>30</v>
      </c>
      <c r="Z991" s="6"/>
      <c r="AA991" s="6" t="s">
        <v>768</v>
      </c>
    </row>
    <row r="992" spans="1:27" s="4" customFormat="1" ht="51.95" customHeight="1">
      <c r="A992" s="5">
        <v>0</v>
      </c>
      <c r="B992" s="6" t="s">
        <v>6133</v>
      </c>
      <c r="C992" s="13">
        <v>770</v>
      </c>
      <c r="D992" s="8" t="s">
        <v>6134</v>
      </c>
      <c r="E992" s="8" t="s">
        <v>6135</v>
      </c>
      <c r="F992" s="8" t="s">
        <v>6136</v>
      </c>
      <c r="G992" s="6" t="s">
        <v>123</v>
      </c>
      <c r="H992" s="6" t="s">
        <v>38</v>
      </c>
      <c r="I992" s="8" t="s">
        <v>39</v>
      </c>
      <c r="J992" s="9">
        <v>1</v>
      </c>
      <c r="K992" s="9">
        <v>256</v>
      </c>
      <c r="L992" s="9">
        <v>2018</v>
      </c>
      <c r="M992" s="8" t="s">
        <v>6137</v>
      </c>
      <c r="N992" s="8" t="s">
        <v>74</v>
      </c>
      <c r="O992" s="8" t="s">
        <v>109</v>
      </c>
      <c r="P992" s="6" t="s">
        <v>43</v>
      </c>
      <c r="Q992" s="8" t="s">
        <v>44</v>
      </c>
      <c r="R992" s="10" t="s">
        <v>6132</v>
      </c>
      <c r="S992" s="11"/>
      <c r="T992" s="6"/>
      <c r="U992" s="28" t="str">
        <f>HYPERLINK("https://media.infra-m.ru/0961/0961435/cover/961435.jpg", "Обложка")</f>
        <v>Обложка</v>
      </c>
      <c r="V992" s="28" t="str">
        <f>HYPERLINK("https://znanium.ru/catalog/product/2138937", "Ознакомиться")</f>
        <v>Ознакомиться</v>
      </c>
      <c r="W992" s="8" t="s">
        <v>998</v>
      </c>
      <c r="X992" s="6"/>
      <c r="Y992" s="6" t="s">
        <v>30</v>
      </c>
      <c r="Z992" s="6"/>
      <c r="AA992" s="6" t="s">
        <v>650</v>
      </c>
    </row>
    <row r="993" spans="1:27" s="4" customFormat="1" ht="51.95" customHeight="1">
      <c r="A993" s="5">
        <v>0</v>
      </c>
      <c r="B993" s="6" t="s">
        <v>6138</v>
      </c>
      <c r="C993" s="7">
        <v>1180</v>
      </c>
      <c r="D993" s="8" t="s">
        <v>6139</v>
      </c>
      <c r="E993" s="8" t="s">
        <v>6140</v>
      </c>
      <c r="F993" s="8" t="s">
        <v>3954</v>
      </c>
      <c r="G993" s="6" t="s">
        <v>83</v>
      </c>
      <c r="H993" s="6" t="s">
        <v>470</v>
      </c>
      <c r="I993" s="8"/>
      <c r="J993" s="9">
        <v>1</v>
      </c>
      <c r="K993" s="9">
        <v>256</v>
      </c>
      <c r="L993" s="9">
        <v>2024</v>
      </c>
      <c r="M993" s="8" t="s">
        <v>6141</v>
      </c>
      <c r="N993" s="8" t="s">
        <v>74</v>
      </c>
      <c r="O993" s="8" t="s">
        <v>109</v>
      </c>
      <c r="P993" s="6" t="s">
        <v>55</v>
      </c>
      <c r="Q993" s="8" t="s">
        <v>177</v>
      </c>
      <c r="R993" s="10" t="s">
        <v>6142</v>
      </c>
      <c r="S993" s="11" t="s">
        <v>6143</v>
      </c>
      <c r="T993" s="6"/>
      <c r="U993" s="28" t="str">
        <f>HYPERLINK("https://media.infra-m.ru/2080/2080334/cover/2080334.jpg", "Обложка")</f>
        <v>Обложка</v>
      </c>
      <c r="V993" s="28" t="str">
        <f>HYPERLINK("https://znanium.ru/catalog/product/2080334", "Ознакомиться")</f>
        <v>Ознакомиться</v>
      </c>
      <c r="W993" s="8" t="s">
        <v>2726</v>
      </c>
      <c r="X993" s="6"/>
      <c r="Y993" s="6"/>
      <c r="Z993" s="6"/>
      <c r="AA993" s="6" t="s">
        <v>6144</v>
      </c>
    </row>
    <row r="994" spans="1:27" s="4" customFormat="1" ht="51.95" customHeight="1">
      <c r="A994" s="5">
        <v>0</v>
      </c>
      <c r="B994" s="6" t="s">
        <v>6145</v>
      </c>
      <c r="C994" s="7">
        <v>1280</v>
      </c>
      <c r="D994" s="8" t="s">
        <v>6146</v>
      </c>
      <c r="E994" s="8" t="s">
        <v>6147</v>
      </c>
      <c r="F994" s="8" t="s">
        <v>6148</v>
      </c>
      <c r="G994" s="6" t="s">
        <v>83</v>
      </c>
      <c r="H994" s="6" t="s">
        <v>52</v>
      </c>
      <c r="I994" s="8" t="s">
        <v>492</v>
      </c>
      <c r="J994" s="9">
        <v>1</v>
      </c>
      <c r="K994" s="9">
        <v>335</v>
      </c>
      <c r="L994" s="9">
        <v>2022</v>
      </c>
      <c r="M994" s="8" t="s">
        <v>6149</v>
      </c>
      <c r="N994" s="8" t="s">
        <v>74</v>
      </c>
      <c r="O994" s="8" t="s">
        <v>109</v>
      </c>
      <c r="P994" s="6" t="s">
        <v>176</v>
      </c>
      <c r="Q994" s="8" t="s">
        <v>207</v>
      </c>
      <c r="R994" s="10" t="s">
        <v>4368</v>
      </c>
      <c r="S994" s="11" t="s">
        <v>4452</v>
      </c>
      <c r="T994" s="6"/>
      <c r="U994" s="28" t="str">
        <f>HYPERLINK("https://media.infra-m.ru/1866/1866999/cover/1866999.jpg", "Обложка")</f>
        <v>Обложка</v>
      </c>
      <c r="V994" s="28" t="str">
        <f>HYPERLINK("https://znanium.ru/catalog/product/1866999", "Ознакомиться")</f>
        <v>Ознакомиться</v>
      </c>
      <c r="W994" s="8" t="s">
        <v>1484</v>
      </c>
      <c r="X994" s="6"/>
      <c r="Y994" s="6"/>
      <c r="Z994" s="6"/>
      <c r="AA994" s="6" t="s">
        <v>6150</v>
      </c>
    </row>
    <row r="995" spans="1:27" s="4" customFormat="1" ht="51.95" customHeight="1">
      <c r="A995" s="5">
        <v>0</v>
      </c>
      <c r="B995" s="6" t="s">
        <v>6151</v>
      </c>
      <c r="C995" s="7">
        <v>1520</v>
      </c>
      <c r="D995" s="8" t="s">
        <v>6152</v>
      </c>
      <c r="E995" s="8" t="s">
        <v>6153</v>
      </c>
      <c r="F995" s="8" t="s">
        <v>6154</v>
      </c>
      <c r="G995" s="6" t="s">
        <v>83</v>
      </c>
      <c r="H995" s="6" t="s">
        <v>38</v>
      </c>
      <c r="I995" s="8" t="s">
        <v>164</v>
      </c>
      <c r="J995" s="9">
        <v>1</v>
      </c>
      <c r="K995" s="9">
        <v>336</v>
      </c>
      <c r="L995" s="9">
        <v>2023</v>
      </c>
      <c r="M995" s="8" t="s">
        <v>6155</v>
      </c>
      <c r="N995" s="8" t="s">
        <v>74</v>
      </c>
      <c r="O995" s="8" t="s">
        <v>109</v>
      </c>
      <c r="P995" s="6" t="s">
        <v>176</v>
      </c>
      <c r="Q995" s="8" t="s">
        <v>56</v>
      </c>
      <c r="R995" s="10" t="s">
        <v>6156</v>
      </c>
      <c r="S995" s="11" t="s">
        <v>5295</v>
      </c>
      <c r="T995" s="6" t="s">
        <v>190</v>
      </c>
      <c r="U995" s="28" t="str">
        <f>HYPERLINK("https://media.infra-m.ru/1939/1939093/cover/1939093.jpg", "Обложка")</f>
        <v>Обложка</v>
      </c>
      <c r="V995" s="28" t="str">
        <f>HYPERLINK("https://znanium.ru/catalog/product/1939093", "Ознакомиться")</f>
        <v>Ознакомиться</v>
      </c>
      <c r="W995" s="8" t="s">
        <v>6157</v>
      </c>
      <c r="X995" s="6"/>
      <c r="Y995" s="6"/>
      <c r="Z995" s="6"/>
      <c r="AA995" s="6" t="s">
        <v>364</v>
      </c>
    </row>
    <row r="996" spans="1:27" s="4" customFormat="1" ht="51.95" customHeight="1">
      <c r="A996" s="5">
        <v>0</v>
      </c>
      <c r="B996" s="6" t="s">
        <v>6158</v>
      </c>
      <c r="C996" s="7">
        <v>1694.9</v>
      </c>
      <c r="D996" s="8" t="s">
        <v>6159</v>
      </c>
      <c r="E996" s="8" t="s">
        <v>6160</v>
      </c>
      <c r="F996" s="8" t="s">
        <v>6161</v>
      </c>
      <c r="G996" s="6" t="s">
        <v>123</v>
      </c>
      <c r="H996" s="6" t="s">
        <v>52</v>
      </c>
      <c r="I996" s="8" t="s">
        <v>155</v>
      </c>
      <c r="J996" s="9">
        <v>1</v>
      </c>
      <c r="K996" s="9">
        <v>496</v>
      </c>
      <c r="L996" s="9">
        <v>2020</v>
      </c>
      <c r="M996" s="8" t="s">
        <v>6162</v>
      </c>
      <c r="N996" s="8" t="s">
        <v>74</v>
      </c>
      <c r="O996" s="8" t="s">
        <v>109</v>
      </c>
      <c r="P996" s="6" t="s">
        <v>55</v>
      </c>
      <c r="Q996" s="8" t="s">
        <v>56</v>
      </c>
      <c r="R996" s="10" t="s">
        <v>2619</v>
      </c>
      <c r="S996" s="11" t="s">
        <v>6163</v>
      </c>
      <c r="T996" s="6"/>
      <c r="U996" s="28" t="str">
        <f>HYPERLINK("https://media.infra-m.ru/1042/1042114/cover/1042114.jpg", "Обложка")</f>
        <v>Обложка</v>
      </c>
      <c r="V996" s="28" t="str">
        <f>HYPERLINK("https://znanium.ru/catalog/product/1121567", "Ознакомиться")</f>
        <v>Ознакомиться</v>
      </c>
      <c r="W996" s="8" t="s">
        <v>1484</v>
      </c>
      <c r="X996" s="6"/>
      <c r="Y996" s="6"/>
      <c r="Z996" s="6"/>
      <c r="AA996" s="6" t="s">
        <v>1500</v>
      </c>
    </row>
    <row r="997" spans="1:27" s="4" customFormat="1" ht="51.95" customHeight="1">
      <c r="A997" s="5">
        <v>0</v>
      </c>
      <c r="B997" s="6" t="s">
        <v>6164</v>
      </c>
      <c r="C997" s="13">
        <v>880</v>
      </c>
      <c r="D997" s="8" t="s">
        <v>6165</v>
      </c>
      <c r="E997" s="8" t="s">
        <v>6153</v>
      </c>
      <c r="F997" s="8" t="s">
        <v>4201</v>
      </c>
      <c r="G997" s="6" t="s">
        <v>83</v>
      </c>
      <c r="H997" s="6" t="s">
        <v>1701</v>
      </c>
      <c r="I997" s="8" t="s">
        <v>205</v>
      </c>
      <c r="J997" s="9">
        <v>1</v>
      </c>
      <c r="K997" s="9">
        <v>192</v>
      </c>
      <c r="L997" s="9">
        <v>2024</v>
      </c>
      <c r="M997" s="8" t="s">
        <v>6166</v>
      </c>
      <c r="N997" s="8" t="s">
        <v>74</v>
      </c>
      <c r="O997" s="8" t="s">
        <v>109</v>
      </c>
      <c r="P997" s="6" t="s">
        <v>55</v>
      </c>
      <c r="Q997" s="8" t="s">
        <v>207</v>
      </c>
      <c r="R997" s="10" t="s">
        <v>6167</v>
      </c>
      <c r="S997" s="11" t="s">
        <v>6168</v>
      </c>
      <c r="T997" s="6"/>
      <c r="U997" s="28" t="str">
        <f>HYPERLINK("https://media.infra-m.ru/2128/2128805/cover/2128805.jpg", "Обложка")</f>
        <v>Обложка</v>
      </c>
      <c r="V997" s="28" t="str">
        <f>HYPERLINK("https://znanium.ru/catalog/product/2128805", "Ознакомиться")</f>
        <v>Ознакомиться</v>
      </c>
      <c r="W997" s="8" t="s">
        <v>2712</v>
      </c>
      <c r="X997" s="6"/>
      <c r="Y997" s="6"/>
      <c r="Z997" s="6"/>
      <c r="AA997" s="6" t="s">
        <v>826</v>
      </c>
    </row>
    <row r="998" spans="1:27" s="4" customFormat="1" ht="51.95" customHeight="1">
      <c r="A998" s="5">
        <v>0</v>
      </c>
      <c r="B998" s="6" t="s">
        <v>6169</v>
      </c>
      <c r="C998" s="7">
        <v>2490</v>
      </c>
      <c r="D998" s="8" t="s">
        <v>6170</v>
      </c>
      <c r="E998" s="8" t="s">
        <v>6147</v>
      </c>
      <c r="F998" s="8" t="s">
        <v>6171</v>
      </c>
      <c r="G998" s="6" t="s">
        <v>123</v>
      </c>
      <c r="H998" s="6" t="s">
        <v>38</v>
      </c>
      <c r="I998" s="8" t="s">
        <v>155</v>
      </c>
      <c r="J998" s="9">
        <v>1</v>
      </c>
      <c r="K998" s="9">
        <v>544</v>
      </c>
      <c r="L998" s="9">
        <v>2023</v>
      </c>
      <c r="M998" s="8" t="s">
        <v>6172</v>
      </c>
      <c r="N998" s="8" t="s">
        <v>74</v>
      </c>
      <c r="O998" s="8" t="s">
        <v>109</v>
      </c>
      <c r="P998" s="6" t="s">
        <v>55</v>
      </c>
      <c r="Q998" s="8" t="s">
        <v>56</v>
      </c>
      <c r="R998" s="10" t="s">
        <v>2619</v>
      </c>
      <c r="S998" s="11" t="s">
        <v>6173</v>
      </c>
      <c r="T998" s="6"/>
      <c r="U998" s="28" t="str">
        <f>HYPERLINK("https://media.infra-m.ru/1121/1121567/cover/1121567.jpg", "Обложка")</f>
        <v>Обложка</v>
      </c>
      <c r="V998" s="28" t="str">
        <f>HYPERLINK("https://znanium.ru/catalog/product/1121567", "Ознакомиться")</f>
        <v>Ознакомиться</v>
      </c>
      <c r="W998" s="8" t="s">
        <v>1484</v>
      </c>
      <c r="X998" s="6" t="s">
        <v>6174</v>
      </c>
      <c r="Y998" s="6"/>
      <c r="Z998" s="6"/>
      <c r="AA998" s="6" t="s">
        <v>2408</v>
      </c>
    </row>
    <row r="999" spans="1:27" s="4" customFormat="1" ht="51.95" customHeight="1">
      <c r="A999" s="5">
        <v>0</v>
      </c>
      <c r="B999" s="6" t="s">
        <v>6175</v>
      </c>
      <c r="C999" s="7">
        <v>1254</v>
      </c>
      <c r="D999" s="8" t="s">
        <v>6176</v>
      </c>
      <c r="E999" s="8" t="s">
        <v>6177</v>
      </c>
      <c r="F999" s="8" t="s">
        <v>6178</v>
      </c>
      <c r="G999" s="6" t="s">
        <v>37</v>
      </c>
      <c r="H999" s="6" t="s">
        <v>52</v>
      </c>
      <c r="I999" s="8" t="s">
        <v>164</v>
      </c>
      <c r="J999" s="9">
        <v>1</v>
      </c>
      <c r="K999" s="9">
        <v>272</v>
      </c>
      <c r="L999" s="9">
        <v>2024</v>
      </c>
      <c r="M999" s="8" t="s">
        <v>6179</v>
      </c>
      <c r="N999" s="8" t="s">
        <v>41</v>
      </c>
      <c r="O999" s="8" t="s">
        <v>65</v>
      </c>
      <c r="P999" s="6" t="s">
        <v>55</v>
      </c>
      <c r="Q999" s="8" t="s">
        <v>56</v>
      </c>
      <c r="R999" s="10" t="s">
        <v>2445</v>
      </c>
      <c r="S999" s="11" t="s">
        <v>6180</v>
      </c>
      <c r="T999" s="6"/>
      <c r="U999" s="28" t="str">
        <f>HYPERLINK("https://media.infra-m.ru/2088/2088248/cover/2088248.jpg", "Обложка")</f>
        <v>Обложка</v>
      </c>
      <c r="V999" s="28" t="str">
        <f>HYPERLINK("https://znanium.ru/catalog/product/1856732", "Ознакомиться")</f>
        <v>Ознакомиться</v>
      </c>
      <c r="W999" s="8" t="s">
        <v>6181</v>
      </c>
      <c r="X999" s="6"/>
      <c r="Y999" s="6"/>
      <c r="Z999" s="6"/>
      <c r="AA999" s="6" t="s">
        <v>381</v>
      </c>
    </row>
    <row r="1000" spans="1:27" s="4" customFormat="1" ht="51.95" customHeight="1">
      <c r="A1000" s="5">
        <v>0</v>
      </c>
      <c r="B1000" s="6" t="s">
        <v>6182</v>
      </c>
      <c r="C1000" s="13">
        <v>750</v>
      </c>
      <c r="D1000" s="8" t="s">
        <v>6183</v>
      </c>
      <c r="E1000" s="8" t="s">
        <v>6184</v>
      </c>
      <c r="F1000" s="8" t="s">
        <v>6185</v>
      </c>
      <c r="G1000" s="6" t="s">
        <v>83</v>
      </c>
      <c r="H1000" s="6" t="s">
        <v>38</v>
      </c>
      <c r="I1000" s="8" t="s">
        <v>205</v>
      </c>
      <c r="J1000" s="9">
        <v>1</v>
      </c>
      <c r="K1000" s="9">
        <v>159</v>
      </c>
      <c r="L1000" s="9">
        <v>2024</v>
      </c>
      <c r="M1000" s="8" t="s">
        <v>6186</v>
      </c>
      <c r="N1000" s="8" t="s">
        <v>41</v>
      </c>
      <c r="O1000" s="8" t="s">
        <v>65</v>
      </c>
      <c r="P1000" s="6" t="s">
        <v>55</v>
      </c>
      <c r="Q1000" s="8" t="s">
        <v>207</v>
      </c>
      <c r="R1000" s="10" t="s">
        <v>6187</v>
      </c>
      <c r="S1000" s="11" t="s">
        <v>6188</v>
      </c>
      <c r="T1000" s="6"/>
      <c r="U1000" s="28" t="str">
        <f>HYPERLINK("https://media.infra-m.ru/2141/2141435/cover/2141435.jpg", "Обложка")</f>
        <v>Обложка</v>
      </c>
      <c r="V1000" s="28" t="str">
        <f>HYPERLINK("https://znanium.ru/catalog/product/2141435", "Ознакомиться")</f>
        <v>Ознакомиться</v>
      </c>
      <c r="W1000" s="8" t="s">
        <v>6189</v>
      </c>
      <c r="X1000" s="6"/>
      <c r="Y1000" s="6"/>
      <c r="Z1000" s="6" t="s">
        <v>235</v>
      </c>
      <c r="AA1000" s="6" t="s">
        <v>78</v>
      </c>
    </row>
    <row r="1001" spans="1:27" s="4" customFormat="1" ht="51.95" customHeight="1">
      <c r="A1001" s="5">
        <v>0</v>
      </c>
      <c r="B1001" s="6" t="s">
        <v>6190</v>
      </c>
      <c r="C1001" s="13">
        <v>910</v>
      </c>
      <c r="D1001" s="8" t="s">
        <v>6191</v>
      </c>
      <c r="E1001" s="8" t="s">
        <v>6192</v>
      </c>
      <c r="F1001" s="8" t="s">
        <v>6185</v>
      </c>
      <c r="G1001" s="6" t="s">
        <v>83</v>
      </c>
      <c r="H1001" s="6" t="s">
        <v>38</v>
      </c>
      <c r="I1001" s="8" t="s">
        <v>155</v>
      </c>
      <c r="J1001" s="9">
        <v>1</v>
      </c>
      <c r="K1001" s="9">
        <v>159</v>
      </c>
      <c r="L1001" s="9">
        <v>2024</v>
      </c>
      <c r="M1001" s="8" t="s">
        <v>6193</v>
      </c>
      <c r="N1001" s="8" t="s">
        <v>41</v>
      </c>
      <c r="O1001" s="8" t="s">
        <v>65</v>
      </c>
      <c r="P1001" s="6" t="s">
        <v>55</v>
      </c>
      <c r="Q1001" s="8" t="s">
        <v>56</v>
      </c>
      <c r="R1001" s="10" t="s">
        <v>2445</v>
      </c>
      <c r="S1001" s="11" t="s">
        <v>6194</v>
      </c>
      <c r="T1001" s="6"/>
      <c r="U1001" s="28" t="str">
        <f>HYPERLINK("https://media.infra-m.ru/2130/2130170/cover/2130170.jpg", "Обложка")</f>
        <v>Обложка</v>
      </c>
      <c r="V1001" s="28" t="str">
        <f>HYPERLINK("https://znanium.ru/catalog/product/2130170", "Ознакомиться")</f>
        <v>Ознакомиться</v>
      </c>
      <c r="W1001" s="8" t="s">
        <v>6189</v>
      </c>
      <c r="X1001" s="6"/>
      <c r="Y1001" s="6"/>
      <c r="Z1001" s="6"/>
      <c r="AA1001" s="6" t="s">
        <v>1006</v>
      </c>
    </row>
    <row r="1002" spans="1:27" s="4" customFormat="1" ht="51.95" customHeight="1">
      <c r="A1002" s="5">
        <v>0</v>
      </c>
      <c r="B1002" s="6" t="s">
        <v>6195</v>
      </c>
      <c r="C1002" s="13">
        <v>570</v>
      </c>
      <c r="D1002" s="8" t="s">
        <v>6196</v>
      </c>
      <c r="E1002" s="8" t="s">
        <v>6184</v>
      </c>
      <c r="F1002" s="8" t="s">
        <v>6185</v>
      </c>
      <c r="G1002" s="6" t="s">
        <v>83</v>
      </c>
      <c r="H1002" s="6" t="s">
        <v>38</v>
      </c>
      <c r="I1002" s="8" t="s">
        <v>164</v>
      </c>
      <c r="J1002" s="9">
        <v>1</v>
      </c>
      <c r="K1002" s="9">
        <v>159</v>
      </c>
      <c r="L1002" s="9">
        <v>2020</v>
      </c>
      <c r="M1002" s="8" t="s">
        <v>6197</v>
      </c>
      <c r="N1002" s="8" t="s">
        <v>41</v>
      </c>
      <c r="O1002" s="8" t="s">
        <v>65</v>
      </c>
      <c r="P1002" s="6" t="s">
        <v>55</v>
      </c>
      <c r="Q1002" s="8" t="s">
        <v>56</v>
      </c>
      <c r="R1002" s="10" t="s">
        <v>2445</v>
      </c>
      <c r="S1002" s="11" t="s">
        <v>6198</v>
      </c>
      <c r="T1002" s="6"/>
      <c r="U1002" s="28" t="str">
        <f>HYPERLINK("https://media.infra-m.ru/1208/1208470/cover/1208470.jpg", "Обложка")</f>
        <v>Обложка</v>
      </c>
      <c r="V1002" s="28" t="str">
        <f>HYPERLINK("https://znanium.ru/catalog/product/2130170", "Ознакомиться")</f>
        <v>Ознакомиться</v>
      </c>
      <c r="W1002" s="8" t="s">
        <v>6189</v>
      </c>
      <c r="X1002" s="6"/>
      <c r="Y1002" s="6"/>
      <c r="Z1002" s="6"/>
      <c r="AA1002" s="6" t="s">
        <v>381</v>
      </c>
    </row>
    <row r="1003" spans="1:27" s="4" customFormat="1" ht="51.95" customHeight="1">
      <c r="A1003" s="5">
        <v>0</v>
      </c>
      <c r="B1003" s="6" t="s">
        <v>6199</v>
      </c>
      <c r="C1003" s="7">
        <v>1014</v>
      </c>
      <c r="D1003" s="8" t="s">
        <v>6200</v>
      </c>
      <c r="E1003" s="8" t="s">
        <v>6201</v>
      </c>
      <c r="F1003" s="8" t="s">
        <v>6202</v>
      </c>
      <c r="G1003" s="6" t="s">
        <v>37</v>
      </c>
      <c r="H1003" s="6" t="s">
        <v>38</v>
      </c>
      <c r="I1003" s="8" t="s">
        <v>155</v>
      </c>
      <c r="J1003" s="9">
        <v>1</v>
      </c>
      <c r="K1003" s="9">
        <v>220</v>
      </c>
      <c r="L1003" s="9">
        <v>2024</v>
      </c>
      <c r="M1003" s="8" t="s">
        <v>6203</v>
      </c>
      <c r="N1003" s="8" t="s">
        <v>41</v>
      </c>
      <c r="O1003" s="8" t="s">
        <v>65</v>
      </c>
      <c r="P1003" s="6" t="s">
        <v>55</v>
      </c>
      <c r="Q1003" s="8" t="s">
        <v>56</v>
      </c>
      <c r="R1003" s="10" t="s">
        <v>5014</v>
      </c>
      <c r="S1003" s="11" t="s">
        <v>6204</v>
      </c>
      <c r="T1003" s="6"/>
      <c r="U1003" s="28" t="str">
        <f>HYPERLINK("https://media.infra-m.ru/2110/2110947/cover/2110947.jpg", "Обложка")</f>
        <v>Обложка</v>
      </c>
      <c r="V1003" s="28" t="str">
        <f>HYPERLINK("https://znanium.ru/catalog/product/2110947", "Ознакомиться")</f>
        <v>Ознакомиться</v>
      </c>
      <c r="W1003" s="8" t="s">
        <v>297</v>
      </c>
      <c r="X1003" s="6"/>
      <c r="Y1003" s="6"/>
      <c r="Z1003" s="6"/>
      <c r="AA1003" s="6" t="s">
        <v>676</v>
      </c>
    </row>
    <row r="1004" spans="1:27" s="4" customFormat="1" ht="51.95" customHeight="1">
      <c r="A1004" s="5">
        <v>0</v>
      </c>
      <c r="B1004" s="6" t="s">
        <v>6205</v>
      </c>
      <c r="C1004" s="7">
        <v>1070</v>
      </c>
      <c r="D1004" s="8" t="s">
        <v>6206</v>
      </c>
      <c r="E1004" s="8" t="s">
        <v>6207</v>
      </c>
      <c r="F1004" s="8" t="s">
        <v>6208</v>
      </c>
      <c r="G1004" s="6" t="s">
        <v>37</v>
      </c>
      <c r="H1004" s="6" t="s">
        <v>52</v>
      </c>
      <c r="I1004" s="8" t="s">
        <v>795</v>
      </c>
      <c r="J1004" s="9">
        <v>1</v>
      </c>
      <c r="K1004" s="9">
        <v>232</v>
      </c>
      <c r="L1004" s="9">
        <v>2023</v>
      </c>
      <c r="M1004" s="8" t="s">
        <v>6209</v>
      </c>
      <c r="N1004" s="8" t="s">
        <v>41</v>
      </c>
      <c r="O1004" s="8" t="s">
        <v>65</v>
      </c>
      <c r="P1004" s="6" t="s">
        <v>378</v>
      </c>
      <c r="Q1004" s="8" t="s">
        <v>44</v>
      </c>
      <c r="R1004" s="10" t="s">
        <v>3471</v>
      </c>
      <c r="S1004" s="11" t="s">
        <v>6198</v>
      </c>
      <c r="T1004" s="6"/>
      <c r="U1004" s="28" t="str">
        <f>HYPERLINK("https://media.infra-m.ru/1979/1979152/cover/1979152.jpg", "Обложка")</f>
        <v>Обложка</v>
      </c>
      <c r="V1004" s="28" t="str">
        <f>HYPERLINK("https://znanium.ru/catalog/product/1979152", "Ознакомиться")</f>
        <v>Ознакомиться</v>
      </c>
      <c r="W1004" s="8" t="s">
        <v>6189</v>
      </c>
      <c r="X1004" s="6"/>
      <c r="Y1004" s="6"/>
      <c r="Z1004" s="6"/>
      <c r="AA1004" s="6" t="s">
        <v>381</v>
      </c>
    </row>
    <row r="1005" spans="1:27" s="4" customFormat="1" ht="51.95" customHeight="1">
      <c r="A1005" s="5">
        <v>0</v>
      </c>
      <c r="B1005" s="6" t="s">
        <v>6210</v>
      </c>
      <c r="C1005" s="7">
        <v>1474</v>
      </c>
      <c r="D1005" s="8" t="s">
        <v>6211</v>
      </c>
      <c r="E1005" s="8" t="s">
        <v>6212</v>
      </c>
      <c r="F1005" s="8" t="s">
        <v>6213</v>
      </c>
      <c r="G1005" s="6" t="s">
        <v>123</v>
      </c>
      <c r="H1005" s="6" t="s">
        <v>38</v>
      </c>
      <c r="I1005" s="8" t="s">
        <v>164</v>
      </c>
      <c r="J1005" s="9">
        <v>1</v>
      </c>
      <c r="K1005" s="9">
        <v>320</v>
      </c>
      <c r="L1005" s="9">
        <v>2024</v>
      </c>
      <c r="M1005" s="8" t="s">
        <v>6214</v>
      </c>
      <c r="N1005" s="8" t="s">
        <v>41</v>
      </c>
      <c r="O1005" s="8" t="s">
        <v>65</v>
      </c>
      <c r="P1005" s="6" t="s">
        <v>176</v>
      </c>
      <c r="Q1005" s="8" t="s">
        <v>56</v>
      </c>
      <c r="R1005" s="10" t="s">
        <v>6066</v>
      </c>
      <c r="S1005" s="11" t="s">
        <v>6215</v>
      </c>
      <c r="T1005" s="6"/>
      <c r="U1005" s="28" t="str">
        <f>HYPERLINK("https://media.infra-m.ru/2103/2103706/cover/2103706.jpg", "Обложка")</f>
        <v>Обложка</v>
      </c>
      <c r="V1005" s="28" t="str">
        <f>HYPERLINK("https://znanium.ru/catalog/product/2103706", "Ознакомиться")</f>
        <v>Ознакомиться</v>
      </c>
      <c r="W1005" s="8" t="s">
        <v>6216</v>
      </c>
      <c r="X1005" s="6"/>
      <c r="Y1005" s="6"/>
      <c r="Z1005" s="6"/>
      <c r="AA1005" s="6" t="s">
        <v>47</v>
      </c>
    </row>
    <row r="1006" spans="1:27" s="4" customFormat="1" ht="51.95" customHeight="1">
      <c r="A1006" s="5">
        <v>0</v>
      </c>
      <c r="B1006" s="6" t="s">
        <v>6217</v>
      </c>
      <c r="C1006" s="13">
        <v>570</v>
      </c>
      <c r="D1006" s="8" t="s">
        <v>6218</v>
      </c>
      <c r="E1006" s="8" t="s">
        <v>6219</v>
      </c>
      <c r="F1006" s="8" t="s">
        <v>6220</v>
      </c>
      <c r="G1006" s="6" t="s">
        <v>37</v>
      </c>
      <c r="H1006" s="6" t="s">
        <v>38</v>
      </c>
      <c r="I1006" s="8" t="s">
        <v>39</v>
      </c>
      <c r="J1006" s="9">
        <v>1</v>
      </c>
      <c r="K1006" s="9">
        <v>126</v>
      </c>
      <c r="L1006" s="9">
        <v>2023</v>
      </c>
      <c r="M1006" s="8" t="s">
        <v>6221</v>
      </c>
      <c r="N1006" s="8" t="s">
        <v>41</v>
      </c>
      <c r="O1006" s="8" t="s">
        <v>65</v>
      </c>
      <c r="P1006" s="6" t="s">
        <v>43</v>
      </c>
      <c r="Q1006" s="8" t="s">
        <v>44</v>
      </c>
      <c r="R1006" s="10" t="s">
        <v>6222</v>
      </c>
      <c r="S1006" s="11"/>
      <c r="T1006" s="6"/>
      <c r="U1006" s="28" t="str">
        <f>HYPERLINK("https://media.infra-m.ru/1937/1937187/cover/1937187.jpg", "Обложка")</f>
        <v>Обложка</v>
      </c>
      <c r="V1006" s="28" t="str">
        <f>HYPERLINK("https://znanium.ru/catalog/product/1937187", "Ознакомиться")</f>
        <v>Ознакомиться</v>
      </c>
      <c r="W1006" s="8" t="s">
        <v>6223</v>
      </c>
      <c r="X1006" s="6"/>
      <c r="Y1006" s="6"/>
      <c r="Z1006" s="6"/>
      <c r="AA1006" s="6" t="s">
        <v>650</v>
      </c>
    </row>
    <row r="1007" spans="1:27" s="4" customFormat="1" ht="51.95" customHeight="1">
      <c r="A1007" s="5">
        <v>0</v>
      </c>
      <c r="B1007" s="6" t="s">
        <v>6224</v>
      </c>
      <c r="C1007" s="7">
        <v>2200</v>
      </c>
      <c r="D1007" s="8" t="s">
        <v>6225</v>
      </c>
      <c r="E1007" s="8" t="s">
        <v>6226</v>
      </c>
      <c r="F1007" s="8" t="s">
        <v>6227</v>
      </c>
      <c r="G1007" s="6" t="s">
        <v>123</v>
      </c>
      <c r="H1007" s="6" t="s">
        <v>38</v>
      </c>
      <c r="I1007" s="8" t="s">
        <v>884</v>
      </c>
      <c r="J1007" s="9">
        <v>1</v>
      </c>
      <c r="K1007" s="9">
        <v>478</v>
      </c>
      <c r="L1007" s="9">
        <v>2024</v>
      </c>
      <c r="M1007" s="8" t="s">
        <v>6228</v>
      </c>
      <c r="N1007" s="8" t="s">
        <v>74</v>
      </c>
      <c r="O1007" s="8" t="s">
        <v>93</v>
      </c>
      <c r="P1007" s="6" t="s">
        <v>55</v>
      </c>
      <c r="Q1007" s="8" t="s">
        <v>594</v>
      </c>
      <c r="R1007" s="10" t="s">
        <v>1541</v>
      </c>
      <c r="S1007" s="11" t="s">
        <v>6229</v>
      </c>
      <c r="T1007" s="6"/>
      <c r="U1007" s="28" t="str">
        <f>HYPERLINK("https://media.infra-m.ru/2118/2118168/cover/2118168.jpg", "Обложка")</f>
        <v>Обложка</v>
      </c>
      <c r="V1007" s="28" t="str">
        <f>HYPERLINK("https://znanium.ru/catalog/product/2118168", "Ознакомиться")</f>
        <v>Ознакомиться</v>
      </c>
      <c r="W1007" s="8" t="s">
        <v>2740</v>
      </c>
      <c r="X1007" s="6"/>
      <c r="Y1007" s="6"/>
      <c r="Z1007" s="6"/>
      <c r="AA1007" s="6" t="s">
        <v>78</v>
      </c>
    </row>
    <row r="1008" spans="1:27" s="4" customFormat="1" ht="51.95" customHeight="1">
      <c r="A1008" s="5">
        <v>0</v>
      </c>
      <c r="B1008" s="6" t="s">
        <v>6230</v>
      </c>
      <c r="C1008" s="13">
        <v>370</v>
      </c>
      <c r="D1008" s="8" t="s">
        <v>6231</v>
      </c>
      <c r="E1008" s="8" t="s">
        <v>6232</v>
      </c>
      <c r="F1008" s="8" t="s">
        <v>6233</v>
      </c>
      <c r="G1008" s="6" t="s">
        <v>37</v>
      </c>
      <c r="H1008" s="6" t="s">
        <v>38</v>
      </c>
      <c r="I1008" s="8" t="s">
        <v>39</v>
      </c>
      <c r="J1008" s="9">
        <v>1</v>
      </c>
      <c r="K1008" s="9">
        <v>106</v>
      </c>
      <c r="L1008" s="9">
        <v>2020</v>
      </c>
      <c r="M1008" s="8" t="s">
        <v>6234</v>
      </c>
      <c r="N1008" s="8" t="s">
        <v>41</v>
      </c>
      <c r="O1008" s="8" t="s">
        <v>65</v>
      </c>
      <c r="P1008" s="6" t="s">
        <v>43</v>
      </c>
      <c r="Q1008" s="8" t="s">
        <v>44</v>
      </c>
      <c r="R1008" s="10" t="s">
        <v>6235</v>
      </c>
      <c r="S1008" s="11"/>
      <c r="T1008" s="6"/>
      <c r="U1008" s="28" t="str">
        <f>HYPERLINK("https://media.infra-m.ru/1039/1039302/cover/1039302.jpg", "Обложка")</f>
        <v>Обложка</v>
      </c>
      <c r="V1008" s="28" t="str">
        <f>HYPERLINK("https://znanium.ru/catalog/product/1039302", "Ознакомиться")</f>
        <v>Ознакомиться</v>
      </c>
      <c r="W1008" s="8" t="s">
        <v>2608</v>
      </c>
      <c r="X1008" s="6"/>
      <c r="Y1008" s="6"/>
      <c r="Z1008" s="6"/>
      <c r="AA1008" s="6" t="s">
        <v>59</v>
      </c>
    </row>
    <row r="1009" spans="1:27" s="4" customFormat="1" ht="51.95" customHeight="1">
      <c r="A1009" s="5">
        <v>0</v>
      </c>
      <c r="B1009" s="6" t="s">
        <v>6236</v>
      </c>
      <c r="C1009" s="13">
        <v>990</v>
      </c>
      <c r="D1009" s="8" t="s">
        <v>6237</v>
      </c>
      <c r="E1009" s="8" t="s">
        <v>6238</v>
      </c>
      <c r="F1009" s="8" t="s">
        <v>6239</v>
      </c>
      <c r="G1009" s="6" t="s">
        <v>83</v>
      </c>
      <c r="H1009" s="6" t="s">
        <v>38</v>
      </c>
      <c r="I1009" s="8" t="s">
        <v>164</v>
      </c>
      <c r="J1009" s="9">
        <v>1</v>
      </c>
      <c r="K1009" s="9">
        <v>214</v>
      </c>
      <c r="L1009" s="9">
        <v>2023</v>
      </c>
      <c r="M1009" s="8" t="s">
        <v>6240</v>
      </c>
      <c r="N1009" s="8" t="s">
        <v>41</v>
      </c>
      <c r="O1009" s="8" t="s">
        <v>65</v>
      </c>
      <c r="P1009" s="6" t="s">
        <v>176</v>
      </c>
      <c r="Q1009" s="8" t="s">
        <v>56</v>
      </c>
      <c r="R1009" s="10" t="s">
        <v>6241</v>
      </c>
      <c r="S1009" s="11" t="s">
        <v>6242</v>
      </c>
      <c r="T1009" s="6"/>
      <c r="U1009" s="28" t="str">
        <f>HYPERLINK("https://media.infra-m.ru/1965/1965762/cover/1965762.jpg", "Обложка")</f>
        <v>Обложка</v>
      </c>
      <c r="V1009" s="28" t="str">
        <f>HYPERLINK("https://znanium.ru/catalog/product/1965762", "Ознакомиться")</f>
        <v>Ознакомиться</v>
      </c>
      <c r="W1009" s="8" t="s">
        <v>6243</v>
      </c>
      <c r="X1009" s="6"/>
      <c r="Y1009" s="6"/>
      <c r="Z1009" s="6"/>
      <c r="AA1009" s="6" t="s">
        <v>193</v>
      </c>
    </row>
    <row r="1010" spans="1:27" s="4" customFormat="1" ht="51.95" customHeight="1">
      <c r="A1010" s="5">
        <v>0</v>
      </c>
      <c r="B1010" s="6" t="s">
        <v>6244</v>
      </c>
      <c r="C1010" s="7">
        <v>1010</v>
      </c>
      <c r="D1010" s="8" t="s">
        <v>6245</v>
      </c>
      <c r="E1010" s="8" t="s">
        <v>6246</v>
      </c>
      <c r="F1010" s="8" t="s">
        <v>6247</v>
      </c>
      <c r="G1010" s="6" t="s">
        <v>83</v>
      </c>
      <c r="H1010" s="6" t="s">
        <v>618</v>
      </c>
      <c r="I1010" s="8"/>
      <c r="J1010" s="9">
        <v>1</v>
      </c>
      <c r="K1010" s="9">
        <v>240</v>
      </c>
      <c r="L1010" s="9">
        <v>2022</v>
      </c>
      <c r="M1010" s="8" t="s">
        <v>6248</v>
      </c>
      <c r="N1010" s="8" t="s">
        <v>41</v>
      </c>
      <c r="O1010" s="8" t="s">
        <v>65</v>
      </c>
      <c r="P1010" s="6" t="s">
        <v>3895</v>
      </c>
      <c r="Q1010" s="8" t="s">
        <v>44</v>
      </c>
      <c r="R1010" s="10" t="s">
        <v>6249</v>
      </c>
      <c r="S1010" s="11"/>
      <c r="T1010" s="6"/>
      <c r="U1010" s="28" t="str">
        <f>HYPERLINK("https://media.infra-m.ru/1877/1877364/cover/1877364.jpg", "Обложка")</f>
        <v>Обложка</v>
      </c>
      <c r="V1010" s="28" t="str">
        <f>HYPERLINK("https://znanium.ru/catalog/product/1877364", "Ознакомиться")</f>
        <v>Ознакомиться</v>
      </c>
      <c r="W1010" s="8" t="s">
        <v>1334</v>
      </c>
      <c r="X1010" s="6"/>
      <c r="Y1010" s="6"/>
      <c r="Z1010" s="6"/>
      <c r="AA1010" s="6" t="s">
        <v>78</v>
      </c>
    </row>
    <row r="1011" spans="1:27" s="4" customFormat="1" ht="51.95" customHeight="1">
      <c r="A1011" s="5">
        <v>0</v>
      </c>
      <c r="B1011" s="6" t="s">
        <v>6250</v>
      </c>
      <c r="C1011" s="7">
        <v>1034.9000000000001</v>
      </c>
      <c r="D1011" s="8" t="s">
        <v>6251</v>
      </c>
      <c r="E1011" s="8" t="s">
        <v>6252</v>
      </c>
      <c r="F1011" s="8" t="s">
        <v>6253</v>
      </c>
      <c r="G1011" s="6" t="s">
        <v>123</v>
      </c>
      <c r="H1011" s="6" t="s">
        <v>528</v>
      </c>
      <c r="I1011" s="8" t="s">
        <v>3805</v>
      </c>
      <c r="J1011" s="9">
        <v>1</v>
      </c>
      <c r="K1011" s="9">
        <v>272</v>
      </c>
      <c r="L1011" s="9">
        <v>2022</v>
      </c>
      <c r="M1011" s="8" t="s">
        <v>6254</v>
      </c>
      <c r="N1011" s="8" t="s">
        <v>41</v>
      </c>
      <c r="O1011" s="8" t="s">
        <v>65</v>
      </c>
      <c r="P1011" s="6" t="s">
        <v>55</v>
      </c>
      <c r="Q1011" s="8" t="s">
        <v>56</v>
      </c>
      <c r="R1011" s="10" t="s">
        <v>5287</v>
      </c>
      <c r="S1011" s="11" t="s">
        <v>6255</v>
      </c>
      <c r="T1011" s="6"/>
      <c r="U1011" s="28" t="str">
        <f>HYPERLINK("https://media.infra-m.ru/1844/1844308/cover/1844308.jpg", "Обложка")</f>
        <v>Обложка</v>
      </c>
      <c r="V1011" s="28" t="str">
        <f>HYPERLINK("https://znanium.ru/catalog/product/935422", "Ознакомиться")</f>
        <v>Ознакомиться</v>
      </c>
      <c r="W1011" s="8" t="s">
        <v>6256</v>
      </c>
      <c r="X1011" s="6"/>
      <c r="Y1011" s="6"/>
      <c r="Z1011" s="6"/>
      <c r="AA1011" s="6" t="s">
        <v>59</v>
      </c>
    </row>
    <row r="1012" spans="1:27" s="4" customFormat="1" ht="51.95" customHeight="1">
      <c r="A1012" s="5">
        <v>0</v>
      </c>
      <c r="B1012" s="6" t="s">
        <v>6257</v>
      </c>
      <c r="C1012" s="13">
        <v>864</v>
      </c>
      <c r="D1012" s="8" t="s">
        <v>6258</v>
      </c>
      <c r="E1012" s="8" t="s">
        <v>6259</v>
      </c>
      <c r="F1012" s="8" t="s">
        <v>6260</v>
      </c>
      <c r="G1012" s="6" t="s">
        <v>83</v>
      </c>
      <c r="H1012" s="6" t="s">
        <v>38</v>
      </c>
      <c r="I1012" s="8" t="s">
        <v>164</v>
      </c>
      <c r="J1012" s="9">
        <v>1</v>
      </c>
      <c r="K1012" s="9">
        <v>189</v>
      </c>
      <c r="L1012" s="9">
        <v>2024</v>
      </c>
      <c r="M1012" s="8" t="s">
        <v>6261</v>
      </c>
      <c r="N1012" s="8" t="s">
        <v>41</v>
      </c>
      <c r="O1012" s="8" t="s">
        <v>65</v>
      </c>
      <c r="P1012" s="6" t="s">
        <v>55</v>
      </c>
      <c r="Q1012" s="8" t="s">
        <v>56</v>
      </c>
      <c r="R1012" s="10" t="s">
        <v>6262</v>
      </c>
      <c r="S1012" s="11" t="s">
        <v>6263</v>
      </c>
      <c r="T1012" s="6"/>
      <c r="U1012" s="28" t="str">
        <f>HYPERLINK("https://media.infra-m.ru/2103/2103744/cover/2103744.jpg", "Обложка")</f>
        <v>Обложка</v>
      </c>
      <c r="V1012" s="28" t="str">
        <f>HYPERLINK("https://znanium.ru/catalog/product/2103744", "Ознакомиться")</f>
        <v>Ознакомиться</v>
      </c>
      <c r="W1012" s="8" t="s">
        <v>1056</v>
      </c>
      <c r="X1012" s="6"/>
      <c r="Y1012" s="6"/>
      <c r="Z1012" s="6"/>
      <c r="AA1012" s="6" t="s">
        <v>3426</v>
      </c>
    </row>
    <row r="1013" spans="1:27" s="4" customFormat="1" ht="51.95" customHeight="1">
      <c r="A1013" s="5">
        <v>0</v>
      </c>
      <c r="B1013" s="6" t="s">
        <v>6264</v>
      </c>
      <c r="C1013" s="13">
        <v>574.9</v>
      </c>
      <c r="D1013" s="8" t="s">
        <v>6265</v>
      </c>
      <c r="E1013" s="8" t="s">
        <v>6266</v>
      </c>
      <c r="F1013" s="8" t="s">
        <v>6267</v>
      </c>
      <c r="G1013" s="6" t="s">
        <v>37</v>
      </c>
      <c r="H1013" s="6" t="s">
        <v>52</v>
      </c>
      <c r="I1013" s="8" t="s">
        <v>164</v>
      </c>
      <c r="J1013" s="9">
        <v>1</v>
      </c>
      <c r="K1013" s="9">
        <v>192</v>
      </c>
      <c r="L1013" s="9">
        <v>2019</v>
      </c>
      <c r="M1013" s="8" t="s">
        <v>6268</v>
      </c>
      <c r="N1013" s="8" t="s">
        <v>41</v>
      </c>
      <c r="O1013" s="8" t="s">
        <v>65</v>
      </c>
      <c r="P1013" s="6" t="s">
        <v>55</v>
      </c>
      <c r="Q1013" s="8" t="s">
        <v>56</v>
      </c>
      <c r="R1013" s="10" t="s">
        <v>6262</v>
      </c>
      <c r="S1013" s="11" t="s">
        <v>6269</v>
      </c>
      <c r="T1013" s="6"/>
      <c r="U1013" s="28" t="str">
        <f>HYPERLINK("https://media.infra-m.ru/1021/1021549/cover/1021549.jpg", "Обложка")</f>
        <v>Обложка</v>
      </c>
      <c r="V1013" s="28" t="str">
        <f>HYPERLINK("https://znanium.ru/catalog/product/2103744", "Ознакомиться")</f>
        <v>Ознакомиться</v>
      </c>
      <c r="W1013" s="8" t="s">
        <v>1056</v>
      </c>
      <c r="X1013" s="6"/>
      <c r="Y1013" s="6"/>
      <c r="Z1013" s="6"/>
      <c r="AA1013" s="6" t="s">
        <v>635</v>
      </c>
    </row>
    <row r="1014" spans="1:27" s="4" customFormat="1" ht="51.95" customHeight="1">
      <c r="A1014" s="5">
        <v>0</v>
      </c>
      <c r="B1014" s="6" t="s">
        <v>6270</v>
      </c>
      <c r="C1014" s="13">
        <v>970</v>
      </c>
      <c r="D1014" s="8" t="s">
        <v>6271</v>
      </c>
      <c r="E1014" s="8" t="s">
        <v>6272</v>
      </c>
      <c r="F1014" s="8" t="s">
        <v>6273</v>
      </c>
      <c r="G1014" s="6" t="s">
        <v>83</v>
      </c>
      <c r="H1014" s="6" t="s">
        <v>38</v>
      </c>
      <c r="I1014" s="8" t="s">
        <v>155</v>
      </c>
      <c r="J1014" s="9">
        <v>1</v>
      </c>
      <c r="K1014" s="9">
        <v>208</v>
      </c>
      <c r="L1014" s="9">
        <v>2023</v>
      </c>
      <c r="M1014" s="8" t="s">
        <v>6274</v>
      </c>
      <c r="N1014" s="8" t="s">
        <v>41</v>
      </c>
      <c r="O1014" s="8" t="s">
        <v>65</v>
      </c>
      <c r="P1014" s="6" t="s">
        <v>55</v>
      </c>
      <c r="Q1014" s="8" t="s">
        <v>177</v>
      </c>
      <c r="R1014" s="10" t="s">
        <v>5014</v>
      </c>
      <c r="S1014" s="11" t="s">
        <v>6275</v>
      </c>
      <c r="T1014" s="6"/>
      <c r="U1014" s="28" t="str">
        <f>HYPERLINK("https://media.infra-m.ru/2044/2044228/cover/2044228.jpg", "Обложка")</f>
        <v>Обложка</v>
      </c>
      <c r="V1014" s="28" t="str">
        <f>HYPERLINK("https://znanium.ru/catalog/product/2044228", "Ознакомиться")</f>
        <v>Ознакомиться</v>
      </c>
      <c r="W1014" s="8" t="s">
        <v>1530</v>
      </c>
      <c r="X1014" s="6"/>
      <c r="Y1014" s="6"/>
      <c r="Z1014" s="6"/>
      <c r="AA1014" s="6" t="s">
        <v>381</v>
      </c>
    </row>
    <row r="1015" spans="1:27" s="4" customFormat="1" ht="44.1" customHeight="1">
      <c r="A1015" s="5">
        <v>0</v>
      </c>
      <c r="B1015" s="6" t="s">
        <v>6276</v>
      </c>
      <c r="C1015" s="13">
        <v>690</v>
      </c>
      <c r="D1015" s="8" t="s">
        <v>6277</v>
      </c>
      <c r="E1015" s="8" t="s">
        <v>6278</v>
      </c>
      <c r="F1015" s="8" t="s">
        <v>6279</v>
      </c>
      <c r="G1015" s="6" t="s">
        <v>37</v>
      </c>
      <c r="H1015" s="6" t="s">
        <v>38</v>
      </c>
      <c r="I1015" s="8" t="s">
        <v>39</v>
      </c>
      <c r="J1015" s="9">
        <v>1</v>
      </c>
      <c r="K1015" s="9">
        <v>167</v>
      </c>
      <c r="L1015" s="9">
        <v>2022</v>
      </c>
      <c r="M1015" s="8" t="s">
        <v>6280</v>
      </c>
      <c r="N1015" s="8" t="s">
        <v>41</v>
      </c>
      <c r="O1015" s="8" t="s">
        <v>65</v>
      </c>
      <c r="P1015" s="6" t="s">
        <v>43</v>
      </c>
      <c r="Q1015" s="8" t="s">
        <v>44</v>
      </c>
      <c r="R1015" s="10" t="s">
        <v>6281</v>
      </c>
      <c r="S1015" s="11"/>
      <c r="T1015" s="6"/>
      <c r="U1015" s="28" t="str">
        <f>HYPERLINK("https://media.infra-m.ru/1861/1861576/cover/1861576.jpg", "Обложка")</f>
        <v>Обложка</v>
      </c>
      <c r="V1015" s="28" t="str">
        <f>HYPERLINK("https://znanium.ru/catalog/product/1861576", "Ознакомиться")</f>
        <v>Ознакомиться</v>
      </c>
      <c r="W1015" s="8" t="s">
        <v>2726</v>
      </c>
      <c r="X1015" s="6"/>
      <c r="Y1015" s="6"/>
      <c r="Z1015" s="6"/>
      <c r="AA1015" s="6" t="s">
        <v>193</v>
      </c>
    </row>
    <row r="1016" spans="1:27" s="4" customFormat="1" ht="51.95" customHeight="1">
      <c r="A1016" s="5">
        <v>0</v>
      </c>
      <c r="B1016" s="6" t="s">
        <v>6282</v>
      </c>
      <c r="C1016" s="7">
        <v>1104</v>
      </c>
      <c r="D1016" s="8" t="s">
        <v>6283</v>
      </c>
      <c r="E1016" s="8" t="s">
        <v>6284</v>
      </c>
      <c r="F1016" s="8" t="s">
        <v>6285</v>
      </c>
      <c r="G1016" s="6" t="s">
        <v>37</v>
      </c>
      <c r="H1016" s="6" t="s">
        <v>38</v>
      </c>
      <c r="I1016" s="8" t="s">
        <v>39</v>
      </c>
      <c r="J1016" s="9">
        <v>1</v>
      </c>
      <c r="K1016" s="9">
        <v>241</v>
      </c>
      <c r="L1016" s="9">
        <v>2024</v>
      </c>
      <c r="M1016" s="8" t="s">
        <v>6286</v>
      </c>
      <c r="N1016" s="8" t="s">
        <v>41</v>
      </c>
      <c r="O1016" s="8" t="s">
        <v>65</v>
      </c>
      <c r="P1016" s="6" t="s">
        <v>43</v>
      </c>
      <c r="Q1016" s="8" t="s">
        <v>594</v>
      </c>
      <c r="R1016" s="10" t="s">
        <v>6287</v>
      </c>
      <c r="S1016" s="11"/>
      <c r="T1016" s="6"/>
      <c r="U1016" s="28" t="str">
        <f>HYPERLINK("https://media.infra-m.ru/2079/2079699/cover/2079699.jpg", "Обложка")</f>
        <v>Обложка</v>
      </c>
      <c r="V1016" s="28" t="str">
        <f>HYPERLINK("https://znanium.ru/catalog/product/1843233", "Ознакомиться")</f>
        <v>Ознакомиться</v>
      </c>
      <c r="W1016" s="8" t="s">
        <v>3394</v>
      </c>
      <c r="X1016" s="6"/>
      <c r="Y1016" s="6"/>
      <c r="Z1016" s="6"/>
      <c r="AA1016" s="6" t="s">
        <v>78</v>
      </c>
    </row>
    <row r="1017" spans="1:27" s="4" customFormat="1" ht="51.95" customHeight="1">
      <c r="A1017" s="5">
        <v>0</v>
      </c>
      <c r="B1017" s="6" t="s">
        <v>6288</v>
      </c>
      <c r="C1017" s="13">
        <v>800</v>
      </c>
      <c r="D1017" s="8" t="s">
        <v>6289</v>
      </c>
      <c r="E1017" s="8" t="s">
        <v>6290</v>
      </c>
      <c r="F1017" s="8" t="s">
        <v>6291</v>
      </c>
      <c r="G1017" s="6" t="s">
        <v>37</v>
      </c>
      <c r="H1017" s="6" t="s">
        <v>38</v>
      </c>
      <c r="I1017" s="8" t="s">
        <v>39</v>
      </c>
      <c r="J1017" s="9">
        <v>1</v>
      </c>
      <c r="K1017" s="9">
        <v>171</v>
      </c>
      <c r="L1017" s="9">
        <v>2022</v>
      </c>
      <c r="M1017" s="8" t="s">
        <v>6292</v>
      </c>
      <c r="N1017" s="8" t="s">
        <v>41</v>
      </c>
      <c r="O1017" s="8" t="s">
        <v>65</v>
      </c>
      <c r="P1017" s="6" t="s">
        <v>43</v>
      </c>
      <c r="Q1017" s="8" t="s">
        <v>44</v>
      </c>
      <c r="R1017" s="10" t="s">
        <v>6293</v>
      </c>
      <c r="S1017" s="11"/>
      <c r="T1017" s="6"/>
      <c r="U1017" s="28" t="str">
        <f>HYPERLINK("https://media.infra-m.ru/1872/1872851/cover/1872851.jpg", "Обложка")</f>
        <v>Обложка</v>
      </c>
      <c r="V1017" s="28" t="str">
        <f>HYPERLINK("https://znanium.ru/catalog/product/1872851", "Ознакомиться")</f>
        <v>Ознакомиться</v>
      </c>
      <c r="W1017" s="8" t="s">
        <v>474</v>
      </c>
      <c r="X1017" s="6"/>
      <c r="Y1017" s="6"/>
      <c r="Z1017" s="6"/>
      <c r="AA1017" s="6" t="s">
        <v>103</v>
      </c>
    </row>
    <row r="1018" spans="1:27" s="4" customFormat="1" ht="44.1" customHeight="1">
      <c r="A1018" s="5">
        <v>0</v>
      </c>
      <c r="B1018" s="6" t="s">
        <v>6294</v>
      </c>
      <c r="C1018" s="13">
        <v>700</v>
      </c>
      <c r="D1018" s="8" t="s">
        <v>6295</v>
      </c>
      <c r="E1018" s="8" t="s">
        <v>6296</v>
      </c>
      <c r="F1018" s="8" t="s">
        <v>6297</v>
      </c>
      <c r="G1018" s="6" t="s">
        <v>37</v>
      </c>
      <c r="H1018" s="6" t="s">
        <v>38</v>
      </c>
      <c r="I1018" s="8" t="s">
        <v>39</v>
      </c>
      <c r="J1018" s="9">
        <v>1</v>
      </c>
      <c r="K1018" s="9">
        <v>173</v>
      </c>
      <c r="L1018" s="9">
        <v>2022</v>
      </c>
      <c r="M1018" s="8" t="s">
        <v>6298</v>
      </c>
      <c r="N1018" s="8" t="s">
        <v>41</v>
      </c>
      <c r="O1018" s="8" t="s">
        <v>65</v>
      </c>
      <c r="P1018" s="6" t="s">
        <v>43</v>
      </c>
      <c r="Q1018" s="8" t="s">
        <v>44</v>
      </c>
      <c r="R1018" s="10" t="s">
        <v>6299</v>
      </c>
      <c r="S1018" s="11"/>
      <c r="T1018" s="6"/>
      <c r="U1018" s="28" t="str">
        <f>HYPERLINK("https://media.infra-m.ru/1842/1842565/cover/1842565.jpg", "Обложка")</f>
        <v>Обложка</v>
      </c>
      <c r="V1018" s="28" t="str">
        <f>HYPERLINK("https://znanium.ru/catalog/product/1842565", "Ознакомиться")</f>
        <v>Ознакомиться</v>
      </c>
      <c r="W1018" s="8" t="s">
        <v>2165</v>
      </c>
      <c r="X1018" s="6"/>
      <c r="Y1018" s="6"/>
      <c r="Z1018" s="6"/>
      <c r="AA1018" s="6" t="s">
        <v>103</v>
      </c>
    </row>
    <row r="1019" spans="1:27" s="4" customFormat="1" ht="42" customHeight="1">
      <c r="A1019" s="5">
        <v>0</v>
      </c>
      <c r="B1019" s="6" t="s">
        <v>6300</v>
      </c>
      <c r="C1019" s="7">
        <v>1094</v>
      </c>
      <c r="D1019" s="8" t="s">
        <v>6301</v>
      </c>
      <c r="E1019" s="8" t="s">
        <v>6302</v>
      </c>
      <c r="F1019" s="8" t="s">
        <v>6303</v>
      </c>
      <c r="G1019" s="6" t="s">
        <v>83</v>
      </c>
      <c r="H1019" s="6" t="s">
        <v>38</v>
      </c>
      <c r="I1019" s="8"/>
      <c r="J1019" s="9">
        <v>1</v>
      </c>
      <c r="K1019" s="9">
        <v>232</v>
      </c>
      <c r="L1019" s="9">
        <v>2024</v>
      </c>
      <c r="M1019" s="8" t="s">
        <v>6304</v>
      </c>
      <c r="N1019" s="8" t="s">
        <v>41</v>
      </c>
      <c r="O1019" s="8" t="s">
        <v>65</v>
      </c>
      <c r="P1019" s="6" t="s">
        <v>43</v>
      </c>
      <c r="Q1019" s="8" t="s">
        <v>44</v>
      </c>
      <c r="R1019" s="10" t="s">
        <v>3368</v>
      </c>
      <c r="S1019" s="11"/>
      <c r="T1019" s="6"/>
      <c r="U1019" s="28" t="str">
        <f>HYPERLINK("https://media.infra-m.ru/2133/2133787/cover/2133787.jpg", "Обложка")</f>
        <v>Обложка</v>
      </c>
      <c r="V1019" s="28" t="str">
        <f>HYPERLINK("https://znanium.ru/catalog/product/1790001", "Ознакомиться")</f>
        <v>Ознакомиться</v>
      </c>
      <c r="W1019" s="8" t="s">
        <v>363</v>
      </c>
      <c r="X1019" s="6"/>
      <c r="Y1019" s="6"/>
      <c r="Z1019" s="6"/>
      <c r="AA1019" s="6" t="s">
        <v>68</v>
      </c>
    </row>
    <row r="1020" spans="1:27" s="4" customFormat="1" ht="42" customHeight="1">
      <c r="A1020" s="5">
        <v>0</v>
      </c>
      <c r="B1020" s="6" t="s">
        <v>6305</v>
      </c>
      <c r="C1020" s="7">
        <v>1004.9</v>
      </c>
      <c r="D1020" s="8" t="s">
        <v>6306</v>
      </c>
      <c r="E1020" s="8" t="s">
        <v>6307</v>
      </c>
      <c r="F1020" s="8" t="s">
        <v>6308</v>
      </c>
      <c r="G1020" s="6" t="s">
        <v>37</v>
      </c>
      <c r="H1020" s="6" t="s">
        <v>52</v>
      </c>
      <c r="I1020" s="8"/>
      <c r="J1020" s="9">
        <v>1</v>
      </c>
      <c r="K1020" s="9">
        <v>224</v>
      </c>
      <c r="L1020" s="9">
        <v>2023</v>
      </c>
      <c r="M1020" s="8" t="s">
        <v>6309</v>
      </c>
      <c r="N1020" s="8" t="s">
        <v>74</v>
      </c>
      <c r="O1020" s="8" t="s">
        <v>109</v>
      </c>
      <c r="P1020" s="6" t="s">
        <v>43</v>
      </c>
      <c r="Q1020" s="8" t="s">
        <v>44</v>
      </c>
      <c r="R1020" s="10" t="s">
        <v>6310</v>
      </c>
      <c r="S1020" s="11"/>
      <c r="T1020" s="6"/>
      <c r="U1020" s="28" t="str">
        <f>HYPERLINK("https://media.infra-m.ru/1979/1979151/cover/1979151.jpg", "Обложка")</f>
        <v>Обложка</v>
      </c>
      <c r="V1020" s="12"/>
      <c r="W1020" s="8" t="s">
        <v>1035</v>
      </c>
      <c r="X1020" s="6"/>
      <c r="Y1020" s="6"/>
      <c r="Z1020" s="6"/>
      <c r="AA1020" s="6" t="s">
        <v>1500</v>
      </c>
    </row>
    <row r="1021" spans="1:27" s="4" customFormat="1" ht="51.95" customHeight="1">
      <c r="A1021" s="5">
        <v>0</v>
      </c>
      <c r="B1021" s="6" t="s">
        <v>6311</v>
      </c>
      <c r="C1021" s="13">
        <v>790</v>
      </c>
      <c r="D1021" s="8" t="s">
        <v>6312</v>
      </c>
      <c r="E1021" s="8" t="s">
        <v>6313</v>
      </c>
      <c r="F1021" s="8" t="s">
        <v>6314</v>
      </c>
      <c r="G1021" s="6" t="s">
        <v>37</v>
      </c>
      <c r="H1021" s="6" t="s">
        <v>38</v>
      </c>
      <c r="I1021" s="8" t="s">
        <v>39</v>
      </c>
      <c r="J1021" s="9">
        <v>1</v>
      </c>
      <c r="K1021" s="9">
        <v>172</v>
      </c>
      <c r="L1021" s="9">
        <v>2023</v>
      </c>
      <c r="M1021" s="8" t="s">
        <v>6315</v>
      </c>
      <c r="N1021" s="8" t="s">
        <v>41</v>
      </c>
      <c r="O1021" s="8" t="s">
        <v>65</v>
      </c>
      <c r="P1021" s="6" t="s">
        <v>43</v>
      </c>
      <c r="Q1021" s="8" t="s">
        <v>44</v>
      </c>
      <c r="R1021" s="10" t="s">
        <v>6316</v>
      </c>
      <c r="S1021" s="11"/>
      <c r="T1021" s="6"/>
      <c r="U1021" s="28" t="str">
        <f>HYPERLINK("https://media.infra-m.ru/2063/2063406/cover/2063406.jpg", "Обложка")</f>
        <v>Обложка</v>
      </c>
      <c r="V1021" s="28" t="str">
        <f>HYPERLINK("https://znanium.ru/catalog/product/2063406", "Ознакомиться")</f>
        <v>Ознакомиться</v>
      </c>
      <c r="W1021" s="8" t="s">
        <v>1679</v>
      </c>
      <c r="X1021" s="6"/>
      <c r="Y1021" s="6"/>
      <c r="Z1021" s="6"/>
      <c r="AA1021" s="6" t="s">
        <v>193</v>
      </c>
    </row>
    <row r="1022" spans="1:27" s="4" customFormat="1" ht="51.95" customHeight="1">
      <c r="A1022" s="5">
        <v>0</v>
      </c>
      <c r="B1022" s="6" t="s">
        <v>6317</v>
      </c>
      <c r="C1022" s="13">
        <v>834.9</v>
      </c>
      <c r="D1022" s="8" t="s">
        <v>6318</v>
      </c>
      <c r="E1022" s="8" t="s">
        <v>6319</v>
      </c>
      <c r="F1022" s="8" t="s">
        <v>6320</v>
      </c>
      <c r="G1022" s="6" t="s">
        <v>37</v>
      </c>
      <c r="H1022" s="6" t="s">
        <v>38</v>
      </c>
      <c r="I1022" s="8" t="s">
        <v>164</v>
      </c>
      <c r="J1022" s="9">
        <v>1</v>
      </c>
      <c r="K1022" s="9">
        <v>185</v>
      </c>
      <c r="L1022" s="9">
        <v>2023</v>
      </c>
      <c r="M1022" s="8" t="s">
        <v>6321</v>
      </c>
      <c r="N1022" s="8" t="s">
        <v>41</v>
      </c>
      <c r="O1022" s="8" t="s">
        <v>65</v>
      </c>
      <c r="P1022" s="6" t="s">
        <v>55</v>
      </c>
      <c r="Q1022" s="8" t="s">
        <v>56</v>
      </c>
      <c r="R1022" s="10" t="s">
        <v>6322</v>
      </c>
      <c r="S1022" s="11" t="s">
        <v>6323</v>
      </c>
      <c r="T1022" s="6"/>
      <c r="U1022" s="28" t="str">
        <f>HYPERLINK("https://media.infra-m.ru/2001/2001687/cover/2001687.jpg", "Обложка")</f>
        <v>Обложка</v>
      </c>
      <c r="V1022" s="28" t="str">
        <f>HYPERLINK("https://znanium.ru/catalog/product/1128640", "Ознакомиться")</f>
        <v>Ознакомиться</v>
      </c>
      <c r="W1022" s="8" t="s">
        <v>597</v>
      </c>
      <c r="X1022" s="6"/>
      <c r="Y1022" s="6"/>
      <c r="Z1022" s="6"/>
      <c r="AA1022" s="6" t="s">
        <v>3165</v>
      </c>
    </row>
    <row r="1023" spans="1:27" s="4" customFormat="1" ht="44.1" customHeight="1">
      <c r="A1023" s="5">
        <v>0</v>
      </c>
      <c r="B1023" s="6" t="s">
        <v>6324</v>
      </c>
      <c r="C1023" s="13">
        <v>780</v>
      </c>
      <c r="D1023" s="8" t="s">
        <v>6325</v>
      </c>
      <c r="E1023" s="8" t="s">
        <v>6326</v>
      </c>
      <c r="F1023" s="8" t="s">
        <v>6327</v>
      </c>
      <c r="G1023" s="6" t="s">
        <v>37</v>
      </c>
      <c r="H1023" s="6" t="s">
        <v>38</v>
      </c>
      <c r="I1023" s="8" t="s">
        <v>137</v>
      </c>
      <c r="J1023" s="9">
        <v>1</v>
      </c>
      <c r="K1023" s="9">
        <v>194</v>
      </c>
      <c r="L1023" s="9">
        <v>2022</v>
      </c>
      <c r="M1023" s="8" t="s">
        <v>6328</v>
      </c>
      <c r="N1023" s="8" t="s">
        <v>41</v>
      </c>
      <c r="O1023" s="8" t="s">
        <v>65</v>
      </c>
      <c r="P1023" s="6" t="s">
        <v>43</v>
      </c>
      <c r="Q1023" s="8" t="s">
        <v>44</v>
      </c>
      <c r="R1023" s="10" t="s">
        <v>6329</v>
      </c>
      <c r="S1023" s="11"/>
      <c r="T1023" s="6"/>
      <c r="U1023" s="28" t="str">
        <f>HYPERLINK("https://media.infra-m.ru/1098/1098271/cover/1098271.jpg", "Обложка")</f>
        <v>Обложка</v>
      </c>
      <c r="V1023" s="28" t="str">
        <f>HYPERLINK("https://znanium.ru/catalog/product/1098271", "Ознакомиться")</f>
        <v>Ознакомиться</v>
      </c>
      <c r="W1023" s="8" t="s">
        <v>140</v>
      </c>
      <c r="X1023" s="6"/>
      <c r="Y1023" s="6"/>
      <c r="Z1023" s="6"/>
      <c r="AA1023" s="6" t="s">
        <v>103</v>
      </c>
    </row>
    <row r="1024" spans="1:27" s="4" customFormat="1" ht="42" customHeight="1">
      <c r="A1024" s="5">
        <v>0</v>
      </c>
      <c r="B1024" s="6" t="s">
        <v>6330</v>
      </c>
      <c r="C1024" s="13">
        <v>530</v>
      </c>
      <c r="D1024" s="8" t="s">
        <v>6331</v>
      </c>
      <c r="E1024" s="8" t="s">
        <v>6332</v>
      </c>
      <c r="F1024" s="8" t="s">
        <v>5318</v>
      </c>
      <c r="G1024" s="6" t="s">
        <v>37</v>
      </c>
      <c r="H1024" s="6" t="s">
        <v>618</v>
      </c>
      <c r="I1024" s="8"/>
      <c r="J1024" s="9">
        <v>1</v>
      </c>
      <c r="K1024" s="9">
        <v>136</v>
      </c>
      <c r="L1024" s="9">
        <v>2022</v>
      </c>
      <c r="M1024" s="8" t="s">
        <v>6333</v>
      </c>
      <c r="N1024" s="8" t="s">
        <v>41</v>
      </c>
      <c r="O1024" s="8" t="s">
        <v>65</v>
      </c>
      <c r="P1024" s="6" t="s">
        <v>43</v>
      </c>
      <c r="Q1024" s="8" t="s">
        <v>44</v>
      </c>
      <c r="R1024" s="10" t="s">
        <v>6334</v>
      </c>
      <c r="S1024" s="11"/>
      <c r="T1024" s="6"/>
      <c r="U1024" s="28" t="str">
        <f>HYPERLINK("https://media.infra-m.ru/1846/1846285/cover/1846285.jpg", "Обложка")</f>
        <v>Обложка</v>
      </c>
      <c r="V1024" s="28" t="str">
        <f>HYPERLINK("https://znanium.ru/catalog/product/1846285", "Ознакомиться")</f>
        <v>Ознакомиться</v>
      </c>
      <c r="W1024" s="8" t="s">
        <v>1334</v>
      </c>
      <c r="X1024" s="6"/>
      <c r="Y1024" s="6"/>
      <c r="Z1024" s="6"/>
      <c r="AA1024" s="6" t="s">
        <v>650</v>
      </c>
    </row>
    <row r="1025" spans="1:27" s="4" customFormat="1" ht="51.95" customHeight="1">
      <c r="A1025" s="5">
        <v>0</v>
      </c>
      <c r="B1025" s="6" t="s">
        <v>6335</v>
      </c>
      <c r="C1025" s="7">
        <v>1110</v>
      </c>
      <c r="D1025" s="8" t="s">
        <v>6336</v>
      </c>
      <c r="E1025" s="8" t="s">
        <v>6337</v>
      </c>
      <c r="F1025" s="8" t="s">
        <v>6338</v>
      </c>
      <c r="G1025" s="6" t="s">
        <v>83</v>
      </c>
      <c r="H1025" s="6" t="s">
        <v>38</v>
      </c>
      <c r="I1025" s="8" t="s">
        <v>164</v>
      </c>
      <c r="J1025" s="9">
        <v>1</v>
      </c>
      <c r="K1025" s="9">
        <v>233</v>
      </c>
      <c r="L1025" s="9">
        <v>2023</v>
      </c>
      <c r="M1025" s="8" t="s">
        <v>6339</v>
      </c>
      <c r="N1025" s="8" t="s">
        <v>41</v>
      </c>
      <c r="O1025" s="8" t="s">
        <v>65</v>
      </c>
      <c r="P1025" s="6" t="s">
        <v>176</v>
      </c>
      <c r="Q1025" s="8" t="s">
        <v>56</v>
      </c>
      <c r="R1025" s="10" t="s">
        <v>6340</v>
      </c>
      <c r="S1025" s="11" t="s">
        <v>6341</v>
      </c>
      <c r="T1025" s="6"/>
      <c r="U1025" s="28" t="str">
        <f>HYPERLINK("https://media.infra-m.ru/1915/1915708/cover/1915708.jpg", "Обложка")</f>
        <v>Обложка</v>
      </c>
      <c r="V1025" s="28" t="str">
        <f>HYPERLINK("https://znanium.ru/catalog/product/1915708", "Ознакомиться")</f>
        <v>Ознакомиться</v>
      </c>
      <c r="W1025" s="8" t="s">
        <v>1771</v>
      </c>
      <c r="X1025" s="6"/>
      <c r="Y1025" s="6"/>
      <c r="Z1025" s="6"/>
      <c r="AA1025" s="6" t="s">
        <v>193</v>
      </c>
    </row>
    <row r="1026" spans="1:27" s="4" customFormat="1" ht="51.95" customHeight="1">
      <c r="A1026" s="5">
        <v>0</v>
      </c>
      <c r="B1026" s="6" t="s">
        <v>6342</v>
      </c>
      <c r="C1026" s="13">
        <v>594.9</v>
      </c>
      <c r="D1026" s="8" t="s">
        <v>6343</v>
      </c>
      <c r="E1026" s="8" t="s">
        <v>6344</v>
      </c>
      <c r="F1026" s="8" t="s">
        <v>6345</v>
      </c>
      <c r="G1026" s="6" t="s">
        <v>37</v>
      </c>
      <c r="H1026" s="6" t="s">
        <v>38</v>
      </c>
      <c r="I1026" s="8" t="s">
        <v>39</v>
      </c>
      <c r="J1026" s="9">
        <v>1</v>
      </c>
      <c r="K1026" s="9">
        <v>172</v>
      </c>
      <c r="L1026" s="9">
        <v>2019</v>
      </c>
      <c r="M1026" s="8" t="s">
        <v>6346</v>
      </c>
      <c r="N1026" s="8" t="s">
        <v>74</v>
      </c>
      <c r="O1026" s="8" t="s">
        <v>93</v>
      </c>
      <c r="P1026" s="6" t="s">
        <v>43</v>
      </c>
      <c r="Q1026" s="8" t="s">
        <v>44</v>
      </c>
      <c r="R1026" s="10" t="s">
        <v>6347</v>
      </c>
      <c r="S1026" s="11"/>
      <c r="T1026" s="6"/>
      <c r="U1026" s="28" t="str">
        <f>HYPERLINK("https://media.infra-m.ru/0992/0992568/cover/992568.jpg", "Обложка")</f>
        <v>Обложка</v>
      </c>
      <c r="V1026" s="28" t="str">
        <f>HYPERLINK("https://znanium.ru/catalog/product/1981600", "Ознакомиться")</f>
        <v>Ознакомиться</v>
      </c>
      <c r="W1026" s="8" t="s">
        <v>355</v>
      </c>
      <c r="X1026" s="6"/>
      <c r="Y1026" s="6"/>
      <c r="Z1026" s="6"/>
      <c r="AA1026" s="6" t="s">
        <v>290</v>
      </c>
    </row>
    <row r="1027" spans="1:27" s="4" customFormat="1" ht="51.95" customHeight="1">
      <c r="A1027" s="5">
        <v>0</v>
      </c>
      <c r="B1027" s="6" t="s">
        <v>6348</v>
      </c>
      <c r="C1027" s="13">
        <v>904.9</v>
      </c>
      <c r="D1027" s="8" t="s">
        <v>6349</v>
      </c>
      <c r="E1027" s="8" t="s">
        <v>6350</v>
      </c>
      <c r="F1027" s="8" t="s">
        <v>1893</v>
      </c>
      <c r="G1027" s="6" t="s">
        <v>37</v>
      </c>
      <c r="H1027" s="6" t="s">
        <v>38</v>
      </c>
      <c r="I1027" s="8" t="s">
        <v>39</v>
      </c>
      <c r="J1027" s="9">
        <v>1</v>
      </c>
      <c r="K1027" s="9">
        <v>201</v>
      </c>
      <c r="L1027" s="9">
        <v>2023</v>
      </c>
      <c r="M1027" s="8" t="s">
        <v>6351</v>
      </c>
      <c r="N1027" s="8" t="s">
        <v>74</v>
      </c>
      <c r="O1027" s="8" t="s">
        <v>93</v>
      </c>
      <c r="P1027" s="6" t="s">
        <v>43</v>
      </c>
      <c r="Q1027" s="8" t="s">
        <v>44</v>
      </c>
      <c r="R1027" s="10" t="s">
        <v>6347</v>
      </c>
      <c r="S1027" s="11"/>
      <c r="T1027" s="6"/>
      <c r="U1027" s="28" t="str">
        <f>HYPERLINK("https://media.infra-m.ru/1981/1981600/cover/1981600.jpg", "Обложка")</f>
        <v>Обложка</v>
      </c>
      <c r="V1027" s="28" t="str">
        <f>HYPERLINK("https://znanium.ru/catalog/product/1981600", "Ознакомиться")</f>
        <v>Ознакомиться</v>
      </c>
      <c r="W1027" s="8" t="s">
        <v>355</v>
      </c>
      <c r="X1027" s="6"/>
      <c r="Y1027" s="6"/>
      <c r="Z1027" s="6"/>
      <c r="AA1027" s="6" t="s">
        <v>150</v>
      </c>
    </row>
    <row r="1028" spans="1:27" s="4" customFormat="1" ht="51.95" customHeight="1">
      <c r="A1028" s="5">
        <v>0</v>
      </c>
      <c r="B1028" s="6" t="s">
        <v>6352</v>
      </c>
      <c r="C1028" s="13">
        <v>420</v>
      </c>
      <c r="D1028" s="8" t="s">
        <v>6353</v>
      </c>
      <c r="E1028" s="8" t="s">
        <v>6354</v>
      </c>
      <c r="F1028" s="8" t="s">
        <v>1796</v>
      </c>
      <c r="G1028" s="6" t="s">
        <v>37</v>
      </c>
      <c r="H1028" s="6" t="s">
        <v>38</v>
      </c>
      <c r="I1028" s="8" t="s">
        <v>39</v>
      </c>
      <c r="J1028" s="9">
        <v>1</v>
      </c>
      <c r="K1028" s="9">
        <v>123</v>
      </c>
      <c r="L1028" s="9">
        <v>2020</v>
      </c>
      <c r="M1028" s="8" t="s">
        <v>6355</v>
      </c>
      <c r="N1028" s="8" t="s">
        <v>74</v>
      </c>
      <c r="O1028" s="8" t="s">
        <v>93</v>
      </c>
      <c r="P1028" s="6" t="s">
        <v>43</v>
      </c>
      <c r="Q1028" s="8" t="s">
        <v>44</v>
      </c>
      <c r="R1028" s="10" t="s">
        <v>6347</v>
      </c>
      <c r="S1028" s="11"/>
      <c r="T1028" s="6"/>
      <c r="U1028" s="28" t="str">
        <f>HYPERLINK("https://media.infra-m.ru/1036/1036510/cover/1036510.jpg", "Обложка")</f>
        <v>Обложка</v>
      </c>
      <c r="V1028" s="28" t="str">
        <f>HYPERLINK("https://znanium.ru/catalog/product/1036510", "Ознакомиться")</f>
        <v>Ознакомиться</v>
      </c>
      <c r="W1028" s="8" t="s">
        <v>402</v>
      </c>
      <c r="X1028" s="6"/>
      <c r="Y1028" s="6"/>
      <c r="Z1028" s="6"/>
      <c r="AA1028" s="6" t="s">
        <v>47</v>
      </c>
    </row>
    <row r="1029" spans="1:27" s="4" customFormat="1" ht="42" customHeight="1">
      <c r="A1029" s="5">
        <v>0</v>
      </c>
      <c r="B1029" s="6" t="s">
        <v>6356</v>
      </c>
      <c r="C1029" s="13">
        <v>860</v>
      </c>
      <c r="D1029" s="8" t="s">
        <v>6357</v>
      </c>
      <c r="E1029" s="8" t="s">
        <v>6358</v>
      </c>
      <c r="F1029" s="8" t="s">
        <v>6359</v>
      </c>
      <c r="G1029" s="6" t="s">
        <v>83</v>
      </c>
      <c r="H1029" s="6" t="s">
        <v>618</v>
      </c>
      <c r="I1029" s="8"/>
      <c r="J1029" s="9">
        <v>1</v>
      </c>
      <c r="K1029" s="9">
        <v>192</v>
      </c>
      <c r="L1029" s="9">
        <v>2023</v>
      </c>
      <c r="M1029" s="8" t="s">
        <v>6360</v>
      </c>
      <c r="N1029" s="8" t="s">
        <v>41</v>
      </c>
      <c r="O1029" s="8" t="s">
        <v>65</v>
      </c>
      <c r="P1029" s="6" t="s">
        <v>43</v>
      </c>
      <c r="Q1029" s="8" t="s">
        <v>44</v>
      </c>
      <c r="R1029" s="10" t="s">
        <v>6361</v>
      </c>
      <c r="S1029" s="11"/>
      <c r="T1029" s="6"/>
      <c r="U1029" s="28" t="str">
        <f>HYPERLINK("https://media.infra-m.ru/1993/1993588/cover/1993588.jpg", "Обложка")</f>
        <v>Обложка</v>
      </c>
      <c r="V1029" s="28" t="str">
        <f>HYPERLINK("https://znanium.ru/catalog/product/1993588", "Ознакомиться")</f>
        <v>Ознакомиться</v>
      </c>
      <c r="W1029" s="8" t="s">
        <v>1334</v>
      </c>
      <c r="X1029" s="6"/>
      <c r="Y1029" s="6"/>
      <c r="Z1029" s="6"/>
      <c r="AA1029" s="6" t="s">
        <v>650</v>
      </c>
    </row>
    <row r="1030" spans="1:27" s="4" customFormat="1" ht="51.95" customHeight="1">
      <c r="A1030" s="5">
        <v>0</v>
      </c>
      <c r="B1030" s="6" t="s">
        <v>6362</v>
      </c>
      <c r="C1030" s="13">
        <v>644</v>
      </c>
      <c r="D1030" s="8" t="s">
        <v>6363</v>
      </c>
      <c r="E1030" s="8" t="s">
        <v>6364</v>
      </c>
      <c r="F1030" s="8" t="s">
        <v>6365</v>
      </c>
      <c r="G1030" s="6" t="s">
        <v>37</v>
      </c>
      <c r="H1030" s="6" t="s">
        <v>38</v>
      </c>
      <c r="I1030" s="8" t="s">
        <v>39</v>
      </c>
      <c r="J1030" s="9">
        <v>1</v>
      </c>
      <c r="K1030" s="9">
        <v>140</v>
      </c>
      <c r="L1030" s="9">
        <v>2024</v>
      </c>
      <c r="M1030" s="8" t="s">
        <v>6366</v>
      </c>
      <c r="N1030" s="8" t="s">
        <v>41</v>
      </c>
      <c r="O1030" s="8" t="s">
        <v>65</v>
      </c>
      <c r="P1030" s="6" t="s">
        <v>43</v>
      </c>
      <c r="Q1030" s="8" t="s">
        <v>44</v>
      </c>
      <c r="R1030" s="10" t="s">
        <v>6367</v>
      </c>
      <c r="S1030" s="11"/>
      <c r="T1030" s="6"/>
      <c r="U1030" s="28" t="str">
        <f>HYPERLINK("https://media.infra-m.ru/2084/2084562/cover/2084562.jpg", "Обложка")</f>
        <v>Обложка</v>
      </c>
      <c r="V1030" s="28" t="str">
        <f>HYPERLINK("https://znanium.ru/catalog/product/2084562", "Ознакомиться")</f>
        <v>Ознакомиться</v>
      </c>
      <c r="W1030" s="8" t="s">
        <v>423</v>
      </c>
      <c r="X1030" s="6"/>
      <c r="Y1030" s="6"/>
      <c r="Z1030" s="6"/>
      <c r="AA1030" s="6" t="s">
        <v>59</v>
      </c>
    </row>
    <row r="1031" spans="1:27" s="4" customFormat="1" ht="51.95" customHeight="1">
      <c r="A1031" s="5">
        <v>0</v>
      </c>
      <c r="B1031" s="6" t="s">
        <v>6368</v>
      </c>
      <c r="C1031" s="13">
        <v>824</v>
      </c>
      <c r="D1031" s="8" t="s">
        <v>6369</v>
      </c>
      <c r="E1031" s="8" t="s">
        <v>6370</v>
      </c>
      <c r="F1031" s="8" t="s">
        <v>2135</v>
      </c>
      <c r="G1031" s="6" t="s">
        <v>37</v>
      </c>
      <c r="H1031" s="6" t="s">
        <v>618</v>
      </c>
      <c r="I1031" s="8"/>
      <c r="J1031" s="9">
        <v>1</v>
      </c>
      <c r="K1031" s="9">
        <v>176</v>
      </c>
      <c r="L1031" s="9">
        <v>2024</v>
      </c>
      <c r="M1031" s="8" t="s">
        <v>6371</v>
      </c>
      <c r="N1031" s="8" t="s">
        <v>41</v>
      </c>
      <c r="O1031" s="8" t="s">
        <v>65</v>
      </c>
      <c r="P1031" s="6" t="s">
        <v>43</v>
      </c>
      <c r="Q1031" s="8" t="s">
        <v>44</v>
      </c>
      <c r="R1031" s="10" t="s">
        <v>6372</v>
      </c>
      <c r="S1031" s="11"/>
      <c r="T1031" s="6"/>
      <c r="U1031" s="28" t="str">
        <f>HYPERLINK("https://media.infra-m.ru/2146/2146807/cover/2146807.jpg", "Обложка")</f>
        <v>Обложка</v>
      </c>
      <c r="V1031" s="28" t="str">
        <f>HYPERLINK("https://znanium.ru/catalog/product/1092006", "Ознакомиться")</f>
        <v>Ознакомиться</v>
      </c>
      <c r="W1031" s="8" t="s">
        <v>1334</v>
      </c>
      <c r="X1031" s="6"/>
      <c r="Y1031" s="6"/>
      <c r="Z1031" s="6"/>
      <c r="AA1031" s="6" t="s">
        <v>364</v>
      </c>
    </row>
    <row r="1032" spans="1:27" s="4" customFormat="1" ht="44.1" customHeight="1">
      <c r="A1032" s="5">
        <v>0</v>
      </c>
      <c r="B1032" s="6" t="s">
        <v>6373</v>
      </c>
      <c r="C1032" s="13">
        <v>690</v>
      </c>
      <c r="D1032" s="8" t="s">
        <v>6374</v>
      </c>
      <c r="E1032" s="8" t="s">
        <v>6375</v>
      </c>
      <c r="F1032" s="8" t="s">
        <v>6376</v>
      </c>
      <c r="G1032" s="6" t="s">
        <v>37</v>
      </c>
      <c r="H1032" s="6" t="s">
        <v>38</v>
      </c>
      <c r="I1032" s="8" t="s">
        <v>39</v>
      </c>
      <c r="J1032" s="9">
        <v>1</v>
      </c>
      <c r="K1032" s="9">
        <v>164</v>
      </c>
      <c r="L1032" s="9">
        <v>2021</v>
      </c>
      <c r="M1032" s="8" t="s">
        <v>6377</v>
      </c>
      <c r="N1032" s="8" t="s">
        <v>41</v>
      </c>
      <c r="O1032" s="8" t="s">
        <v>65</v>
      </c>
      <c r="P1032" s="6" t="s">
        <v>43</v>
      </c>
      <c r="Q1032" s="8" t="s">
        <v>44</v>
      </c>
      <c r="R1032" s="10" t="s">
        <v>6378</v>
      </c>
      <c r="S1032" s="11"/>
      <c r="T1032" s="6"/>
      <c r="U1032" s="28" t="str">
        <f>HYPERLINK("https://media.infra-m.ru/1209/1209845/cover/1209845.jpg", "Обложка")</f>
        <v>Обложка</v>
      </c>
      <c r="V1032" s="28" t="str">
        <f>HYPERLINK("https://znanium.ru/catalog/product/1209845", "Ознакомиться")</f>
        <v>Ознакомиться</v>
      </c>
      <c r="W1032" s="8" t="s">
        <v>1561</v>
      </c>
      <c r="X1032" s="6"/>
      <c r="Y1032" s="6"/>
      <c r="Z1032" s="6"/>
      <c r="AA1032" s="6" t="s">
        <v>193</v>
      </c>
    </row>
    <row r="1033" spans="1:27" s="4" customFormat="1" ht="42" customHeight="1">
      <c r="A1033" s="5">
        <v>0</v>
      </c>
      <c r="B1033" s="6" t="s">
        <v>6379</v>
      </c>
      <c r="C1033" s="13">
        <v>774</v>
      </c>
      <c r="D1033" s="8" t="s">
        <v>6380</v>
      </c>
      <c r="E1033" s="8" t="s">
        <v>6381</v>
      </c>
      <c r="F1033" s="8" t="s">
        <v>400</v>
      </c>
      <c r="G1033" s="6" t="s">
        <v>37</v>
      </c>
      <c r="H1033" s="6" t="s">
        <v>38</v>
      </c>
      <c r="I1033" s="8" t="s">
        <v>39</v>
      </c>
      <c r="J1033" s="9">
        <v>1</v>
      </c>
      <c r="K1033" s="9">
        <v>145</v>
      </c>
      <c r="L1033" s="9">
        <v>2023</v>
      </c>
      <c r="M1033" s="8" t="s">
        <v>6382</v>
      </c>
      <c r="N1033" s="8" t="s">
        <v>74</v>
      </c>
      <c r="O1033" s="8" t="s">
        <v>93</v>
      </c>
      <c r="P1033" s="6" t="s">
        <v>43</v>
      </c>
      <c r="Q1033" s="8" t="s">
        <v>44</v>
      </c>
      <c r="R1033" s="10" t="s">
        <v>225</v>
      </c>
      <c r="S1033" s="11"/>
      <c r="T1033" s="6"/>
      <c r="U1033" s="28" t="str">
        <f>HYPERLINK("https://media.infra-m.ru/1964/1964963/cover/1964963.jpg", "Обложка")</f>
        <v>Обложка</v>
      </c>
      <c r="V1033" s="28" t="str">
        <f>HYPERLINK("https://znanium.ru/catalog/product/1964963", "Ознакомиться")</f>
        <v>Ознакомиться</v>
      </c>
      <c r="W1033" s="8" t="s">
        <v>402</v>
      </c>
      <c r="X1033" s="6"/>
      <c r="Y1033" s="6"/>
      <c r="Z1033" s="6"/>
      <c r="AA1033" s="6" t="s">
        <v>141</v>
      </c>
    </row>
    <row r="1034" spans="1:27" s="4" customFormat="1" ht="44.1" customHeight="1">
      <c r="A1034" s="5">
        <v>0</v>
      </c>
      <c r="B1034" s="6" t="s">
        <v>6383</v>
      </c>
      <c r="C1034" s="13">
        <v>950</v>
      </c>
      <c r="D1034" s="8" t="s">
        <v>6384</v>
      </c>
      <c r="E1034" s="8" t="s">
        <v>6385</v>
      </c>
      <c r="F1034" s="8" t="s">
        <v>6386</v>
      </c>
      <c r="G1034" s="6" t="s">
        <v>83</v>
      </c>
      <c r="H1034" s="6" t="s">
        <v>38</v>
      </c>
      <c r="I1034" s="8" t="s">
        <v>39</v>
      </c>
      <c r="J1034" s="9">
        <v>1</v>
      </c>
      <c r="K1034" s="9">
        <v>250</v>
      </c>
      <c r="L1034" s="9">
        <v>2021</v>
      </c>
      <c r="M1034" s="8" t="s">
        <v>6387</v>
      </c>
      <c r="N1034" s="8" t="s">
        <v>41</v>
      </c>
      <c r="O1034" s="8" t="s">
        <v>65</v>
      </c>
      <c r="P1034" s="6" t="s">
        <v>43</v>
      </c>
      <c r="Q1034" s="8" t="s">
        <v>44</v>
      </c>
      <c r="R1034" s="10" t="s">
        <v>428</v>
      </c>
      <c r="S1034" s="11"/>
      <c r="T1034" s="6"/>
      <c r="U1034" s="28" t="str">
        <f>HYPERLINK("https://media.infra-m.ru/1680/1680616/cover/1680616.jpg", "Обложка")</f>
        <v>Обложка</v>
      </c>
      <c r="V1034" s="28" t="str">
        <f>HYPERLINK("https://znanium.ru/catalog/product/1680616", "Ознакомиться")</f>
        <v>Ознакомиться</v>
      </c>
      <c r="W1034" s="8" t="s">
        <v>998</v>
      </c>
      <c r="X1034" s="6"/>
      <c r="Y1034" s="6"/>
      <c r="Z1034" s="6"/>
      <c r="AA1034" s="6" t="s">
        <v>59</v>
      </c>
    </row>
    <row r="1035" spans="1:27" s="4" customFormat="1" ht="42" customHeight="1">
      <c r="A1035" s="5">
        <v>0</v>
      </c>
      <c r="B1035" s="6" t="s">
        <v>6388</v>
      </c>
      <c r="C1035" s="7">
        <v>1280</v>
      </c>
      <c r="D1035" s="8" t="s">
        <v>6389</v>
      </c>
      <c r="E1035" s="8" t="s">
        <v>6390</v>
      </c>
      <c r="F1035" s="8" t="s">
        <v>6391</v>
      </c>
      <c r="G1035" s="6" t="s">
        <v>123</v>
      </c>
      <c r="H1035" s="6" t="s">
        <v>38</v>
      </c>
      <c r="I1035" s="8" t="s">
        <v>39</v>
      </c>
      <c r="J1035" s="9">
        <v>1</v>
      </c>
      <c r="K1035" s="9">
        <v>271</v>
      </c>
      <c r="L1035" s="9">
        <v>2024</v>
      </c>
      <c r="M1035" s="8" t="s">
        <v>6392</v>
      </c>
      <c r="N1035" s="8" t="s">
        <v>41</v>
      </c>
      <c r="O1035" s="8" t="s">
        <v>65</v>
      </c>
      <c r="P1035" s="6" t="s">
        <v>43</v>
      </c>
      <c r="Q1035" s="8" t="s">
        <v>44</v>
      </c>
      <c r="R1035" s="10" t="s">
        <v>6393</v>
      </c>
      <c r="S1035" s="11"/>
      <c r="T1035" s="6"/>
      <c r="U1035" s="28" t="str">
        <f>HYPERLINK("https://media.infra-m.ru/2082/2082661/cover/2082661.jpg", "Обложка")</f>
        <v>Обложка</v>
      </c>
      <c r="V1035" s="28" t="str">
        <f>HYPERLINK("https://znanium.ru/catalog/product/2082661", "Ознакомиться")</f>
        <v>Ознакомиться</v>
      </c>
      <c r="W1035" s="8" t="s">
        <v>6157</v>
      </c>
      <c r="X1035" s="6" t="s">
        <v>582</v>
      </c>
      <c r="Y1035" s="6"/>
      <c r="Z1035" s="6"/>
      <c r="AA1035" s="6" t="s">
        <v>180</v>
      </c>
    </row>
    <row r="1036" spans="1:27" s="4" customFormat="1" ht="42" customHeight="1">
      <c r="A1036" s="5">
        <v>0</v>
      </c>
      <c r="B1036" s="6" t="s">
        <v>6394</v>
      </c>
      <c r="C1036" s="13">
        <v>800</v>
      </c>
      <c r="D1036" s="8" t="s">
        <v>6395</v>
      </c>
      <c r="E1036" s="8" t="s">
        <v>6396</v>
      </c>
      <c r="F1036" s="8" t="s">
        <v>6185</v>
      </c>
      <c r="G1036" s="6" t="s">
        <v>37</v>
      </c>
      <c r="H1036" s="6" t="s">
        <v>38</v>
      </c>
      <c r="I1036" s="8" t="s">
        <v>39</v>
      </c>
      <c r="J1036" s="9">
        <v>1</v>
      </c>
      <c r="K1036" s="9">
        <v>171</v>
      </c>
      <c r="L1036" s="9">
        <v>2023</v>
      </c>
      <c r="M1036" s="8" t="s">
        <v>6397</v>
      </c>
      <c r="N1036" s="8" t="s">
        <v>41</v>
      </c>
      <c r="O1036" s="8" t="s">
        <v>65</v>
      </c>
      <c r="P1036" s="6" t="s">
        <v>43</v>
      </c>
      <c r="Q1036" s="8" t="s">
        <v>44</v>
      </c>
      <c r="R1036" s="10" t="s">
        <v>2445</v>
      </c>
      <c r="S1036" s="11"/>
      <c r="T1036" s="6"/>
      <c r="U1036" s="28" t="str">
        <f>HYPERLINK("https://media.infra-m.ru/1910/1910609/cover/1910609.jpg", "Обложка")</f>
        <v>Обложка</v>
      </c>
      <c r="V1036" s="28" t="str">
        <f>HYPERLINK("https://znanium.ru/catalog/product/1910609", "Ознакомиться")</f>
        <v>Ознакомиться</v>
      </c>
      <c r="W1036" s="8" t="s">
        <v>6189</v>
      </c>
      <c r="X1036" s="6"/>
      <c r="Y1036" s="6"/>
      <c r="Z1036" s="6"/>
      <c r="AA1036" s="6" t="s">
        <v>111</v>
      </c>
    </row>
    <row r="1037" spans="1:27" s="4" customFormat="1" ht="42" customHeight="1">
      <c r="A1037" s="5">
        <v>0</v>
      </c>
      <c r="B1037" s="6" t="s">
        <v>6398</v>
      </c>
      <c r="C1037" s="13">
        <v>840</v>
      </c>
      <c r="D1037" s="8" t="s">
        <v>6399</v>
      </c>
      <c r="E1037" s="8" t="s">
        <v>6400</v>
      </c>
      <c r="F1037" s="8" t="s">
        <v>6401</v>
      </c>
      <c r="G1037" s="6" t="s">
        <v>37</v>
      </c>
      <c r="H1037" s="6" t="s">
        <v>38</v>
      </c>
      <c r="I1037" s="8" t="s">
        <v>39</v>
      </c>
      <c r="J1037" s="9">
        <v>1</v>
      </c>
      <c r="K1037" s="9">
        <v>178</v>
      </c>
      <c r="L1037" s="9">
        <v>2024</v>
      </c>
      <c r="M1037" s="8" t="s">
        <v>6402</v>
      </c>
      <c r="N1037" s="8" t="s">
        <v>74</v>
      </c>
      <c r="O1037" s="8" t="s">
        <v>75</v>
      </c>
      <c r="P1037" s="6" t="s">
        <v>43</v>
      </c>
      <c r="Q1037" s="8" t="s">
        <v>44</v>
      </c>
      <c r="R1037" s="10" t="s">
        <v>1034</v>
      </c>
      <c r="S1037" s="11"/>
      <c r="T1037" s="6"/>
      <c r="U1037" s="28" t="str">
        <f>HYPERLINK("https://media.infra-m.ru/2147/2147909/cover/2147909.jpg", "Обложка")</f>
        <v>Обложка</v>
      </c>
      <c r="V1037" s="28" t="str">
        <f>HYPERLINK("https://znanium.ru/catalog/product/2147909", "Ознакомиться")</f>
        <v>Ознакомиться</v>
      </c>
      <c r="W1037" s="8" t="s">
        <v>6403</v>
      </c>
      <c r="X1037" s="6"/>
      <c r="Y1037" s="6"/>
      <c r="Z1037" s="6"/>
      <c r="AA1037" s="6" t="s">
        <v>141</v>
      </c>
    </row>
    <row r="1038" spans="1:27" s="4" customFormat="1" ht="42" customHeight="1">
      <c r="A1038" s="5">
        <v>0</v>
      </c>
      <c r="B1038" s="6" t="s">
        <v>6404</v>
      </c>
      <c r="C1038" s="7">
        <v>1044</v>
      </c>
      <c r="D1038" s="8" t="s">
        <v>6405</v>
      </c>
      <c r="E1038" s="8" t="s">
        <v>6406</v>
      </c>
      <c r="F1038" s="8" t="s">
        <v>6407</v>
      </c>
      <c r="G1038" s="6" t="s">
        <v>37</v>
      </c>
      <c r="H1038" s="6" t="s">
        <v>470</v>
      </c>
      <c r="I1038" s="8" t="s">
        <v>1040</v>
      </c>
      <c r="J1038" s="9">
        <v>1</v>
      </c>
      <c r="K1038" s="9">
        <v>222</v>
      </c>
      <c r="L1038" s="9">
        <v>2024</v>
      </c>
      <c r="M1038" s="8" t="s">
        <v>6408</v>
      </c>
      <c r="N1038" s="8" t="s">
        <v>41</v>
      </c>
      <c r="O1038" s="8" t="s">
        <v>65</v>
      </c>
      <c r="P1038" s="6" t="s">
        <v>43</v>
      </c>
      <c r="Q1038" s="8" t="s">
        <v>44</v>
      </c>
      <c r="R1038" s="10" t="s">
        <v>460</v>
      </c>
      <c r="S1038" s="11"/>
      <c r="T1038" s="6"/>
      <c r="U1038" s="28" t="str">
        <f>HYPERLINK("https://media.infra-m.ru/2144/2144240/cover/2144240.jpg", "Обложка")</f>
        <v>Обложка</v>
      </c>
      <c r="V1038" s="28" t="str">
        <f>HYPERLINK("https://znanium.ru/catalog/product/1010038", "Ознакомиться")</f>
        <v>Ознакомиться</v>
      </c>
      <c r="W1038" s="8" t="s">
        <v>4250</v>
      </c>
      <c r="X1038" s="6"/>
      <c r="Y1038" s="6"/>
      <c r="Z1038" s="6"/>
      <c r="AA1038" s="6" t="s">
        <v>381</v>
      </c>
    </row>
    <row r="1039" spans="1:27" s="4" customFormat="1" ht="51.95" customHeight="1">
      <c r="A1039" s="5">
        <v>0</v>
      </c>
      <c r="B1039" s="6" t="s">
        <v>6409</v>
      </c>
      <c r="C1039" s="7">
        <v>1530</v>
      </c>
      <c r="D1039" s="8" t="s">
        <v>6410</v>
      </c>
      <c r="E1039" s="8" t="s">
        <v>6411</v>
      </c>
      <c r="F1039" s="8" t="s">
        <v>2051</v>
      </c>
      <c r="G1039" s="6" t="s">
        <v>83</v>
      </c>
      <c r="H1039" s="6" t="s">
        <v>38</v>
      </c>
      <c r="I1039" s="8" t="s">
        <v>155</v>
      </c>
      <c r="J1039" s="9">
        <v>1</v>
      </c>
      <c r="K1039" s="9">
        <v>333</v>
      </c>
      <c r="L1039" s="9">
        <v>2023</v>
      </c>
      <c r="M1039" s="8" t="s">
        <v>6412</v>
      </c>
      <c r="N1039" s="8" t="s">
        <v>41</v>
      </c>
      <c r="O1039" s="8" t="s">
        <v>65</v>
      </c>
      <c r="P1039" s="6" t="s">
        <v>176</v>
      </c>
      <c r="Q1039" s="8" t="s">
        <v>177</v>
      </c>
      <c r="R1039" s="10" t="s">
        <v>6413</v>
      </c>
      <c r="S1039" s="11" t="s">
        <v>6414</v>
      </c>
      <c r="T1039" s="6" t="s">
        <v>190</v>
      </c>
      <c r="U1039" s="28" t="str">
        <f>HYPERLINK("https://media.infra-m.ru/2020/2020584/cover/2020584.jpg", "Обложка")</f>
        <v>Обложка</v>
      </c>
      <c r="V1039" s="28" t="str">
        <f>HYPERLINK("https://znanium.ru/catalog/product/1545560", "Ознакомиться")</f>
        <v>Ознакомиться</v>
      </c>
      <c r="W1039" s="8" t="s">
        <v>1028</v>
      </c>
      <c r="X1039" s="6"/>
      <c r="Y1039" s="6"/>
      <c r="Z1039" s="6"/>
      <c r="AA1039" s="6" t="s">
        <v>68</v>
      </c>
    </row>
    <row r="1040" spans="1:27" s="4" customFormat="1" ht="51.95" customHeight="1">
      <c r="A1040" s="5">
        <v>0</v>
      </c>
      <c r="B1040" s="6" t="s">
        <v>6415</v>
      </c>
      <c r="C1040" s="13">
        <v>690</v>
      </c>
      <c r="D1040" s="8" t="s">
        <v>6416</v>
      </c>
      <c r="E1040" s="8" t="s">
        <v>6417</v>
      </c>
      <c r="F1040" s="8" t="s">
        <v>6418</v>
      </c>
      <c r="G1040" s="6" t="s">
        <v>37</v>
      </c>
      <c r="H1040" s="6" t="s">
        <v>38</v>
      </c>
      <c r="I1040" s="8" t="s">
        <v>39</v>
      </c>
      <c r="J1040" s="9">
        <v>1</v>
      </c>
      <c r="K1040" s="9">
        <v>148</v>
      </c>
      <c r="L1040" s="9">
        <v>2023</v>
      </c>
      <c r="M1040" s="8" t="s">
        <v>6419</v>
      </c>
      <c r="N1040" s="8" t="s">
        <v>41</v>
      </c>
      <c r="O1040" s="8" t="s">
        <v>54</v>
      </c>
      <c r="P1040" s="6" t="s">
        <v>43</v>
      </c>
      <c r="Q1040" s="8" t="s">
        <v>44</v>
      </c>
      <c r="R1040" s="10" t="s">
        <v>6420</v>
      </c>
      <c r="S1040" s="11"/>
      <c r="T1040" s="6"/>
      <c r="U1040" s="28" t="str">
        <f>HYPERLINK("https://media.infra-m.ru/1868/1868937/cover/1868937.jpg", "Обложка")</f>
        <v>Обложка</v>
      </c>
      <c r="V1040" s="28" t="str">
        <f>HYPERLINK("https://znanium.ru/catalog/product/1868937", "Ознакомиться")</f>
        <v>Ознакомиться</v>
      </c>
      <c r="W1040" s="8" t="s">
        <v>159</v>
      </c>
      <c r="X1040" s="6"/>
      <c r="Y1040" s="6"/>
      <c r="Z1040" s="6"/>
      <c r="AA1040" s="6" t="s">
        <v>111</v>
      </c>
    </row>
    <row r="1041" spans="1:27" s="4" customFormat="1" ht="42" customHeight="1">
      <c r="A1041" s="5">
        <v>0</v>
      </c>
      <c r="B1041" s="6" t="s">
        <v>6421</v>
      </c>
      <c r="C1041" s="13">
        <v>644</v>
      </c>
      <c r="D1041" s="8" t="s">
        <v>6422</v>
      </c>
      <c r="E1041" s="8" t="s">
        <v>6423</v>
      </c>
      <c r="F1041" s="8" t="s">
        <v>6424</v>
      </c>
      <c r="G1041" s="6" t="s">
        <v>37</v>
      </c>
      <c r="H1041" s="6" t="s">
        <v>725</v>
      </c>
      <c r="I1041" s="8"/>
      <c r="J1041" s="9">
        <v>1</v>
      </c>
      <c r="K1041" s="9">
        <v>136</v>
      </c>
      <c r="L1041" s="9">
        <v>2024</v>
      </c>
      <c r="M1041" s="8" t="s">
        <v>6425</v>
      </c>
      <c r="N1041" s="8" t="s">
        <v>74</v>
      </c>
      <c r="O1041" s="8" t="s">
        <v>394</v>
      </c>
      <c r="P1041" s="6" t="s">
        <v>43</v>
      </c>
      <c r="Q1041" s="8" t="s">
        <v>44</v>
      </c>
      <c r="R1041" s="10" t="s">
        <v>6426</v>
      </c>
      <c r="S1041" s="11"/>
      <c r="T1041" s="6"/>
      <c r="U1041" s="28" t="str">
        <f>HYPERLINK("https://media.infra-m.ru/2087/2087312/cover/2087312.jpg", "Обложка")</f>
        <v>Обложка</v>
      </c>
      <c r="V1041" s="28" t="str">
        <f>HYPERLINK("https://znanium.ru/catalog/product/1854956", "Ознакомиться")</f>
        <v>Ознакомиться</v>
      </c>
      <c r="W1041" s="8" t="s">
        <v>1424</v>
      </c>
      <c r="X1041" s="6"/>
      <c r="Y1041" s="6"/>
      <c r="Z1041" s="6"/>
      <c r="AA1041" s="6" t="s">
        <v>381</v>
      </c>
    </row>
    <row r="1042" spans="1:27" s="4" customFormat="1" ht="42" customHeight="1">
      <c r="A1042" s="5">
        <v>0</v>
      </c>
      <c r="B1042" s="6" t="s">
        <v>6427</v>
      </c>
      <c r="C1042" s="13">
        <v>514</v>
      </c>
      <c r="D1042" s="8" t="s">
        <v>6428</v>
      </c>
      <c r="E1042" s="8" t="s">
        <v>6429</v>
      </c>
      <c r="F1042" s="8" t="s">
        <v>6430</v>
      </c>
      <c r="G1042" s="6" t="s">
        <v>37</v>
      </c>
      <c r="H1042" s="6" t="s">
        <v>38</v>
      </c>
      <c r="I1042" s="8" t="s">
        <v>325</v>
      </c>
      <c r="J1042" s="9">
        <v>1</v>
      </c>
      <c r="K1042" s="9">
        <v>113</v>
      </c>
      <c r="L1042" s="9">
        <v>2023</v>
      </c>
      <c r="M1042" s="8" t="s">
        <v>6431</v>
      </c>
      <c r="N1042" s="8" t="s">
        <v>41</v>
      </c>
      <c r="O1042" s="8" t="s">
        <v>54</v>
      </c>
      <c r="P1042" s="6" t="s">
        <v>43</v>
      </c>
      <c r="Q1042" s="8" t="s">
        <v>44</v>
      </c>
      <c r="R1042" s="10" t="s">
        <v>6432</v>
      </c>
      <c r="S1042" s="11"/>
      <c r="T1042" s="6"/>
      <c r="U1042" s="28" t="str">
        <f>HYPERLINK("https://media.infra-m.ru/2006/2006895/cover/2006895.jpg", "Обложка")</f>
        <v>Обложка</v>
      </c>
      <c r="V1042" s="12"/>
      <c r="W1042" s="8" t="s">
        <v>327</v>
      </c>
      <c r="X1042" s="6"/>
      <c r="Y1042" s="6"/>
      <c r="Z1042" s="6"/>
      <c r="AA1042" s="6" t="s">
        <v>68</v>
      </c>
    </row>
    <row r="1043" spans="1:27" s="4" customFormat="1" ht="42" customHeight="1">
      <c r="A1043" s="5">
        <v>0</v>
      </c>
      <c r="B1043" s="6" t="s">
        <v>6433</v>
      </c>
      <c r="C1043" s="7">
        <v>2199.9</v>
      </c>
      <c r="D1043" s="8" t="s">
        <v>6434</v>
      </c>
      <c r="E1043" s="8" t="s">
        <v>6435</v>
      </c>
      <c r="F1043" s="8" t="s">
        <v>4240</v>
      </c>
      <c r="G1043" s="6" t="s">
        <v>123</v>
      </c>
      <c r="H1043" s="6" t="s">
        <v>618</v>
      </c>
      <c r="I1043" s="8"/>
      <c r="J1043" s="9">
        <v>1</v>
      </c>
      <c r="K1043" s="9">
        <v>488</v>
      </c>
      <c r="L1043" s="9">
        <v>2023</v>
      </c>
      <c r="M1043" s="8" t="s">
        <v>6436</v>
      </c>
      <c r="N1043" s="8" t="s">
        <v>74</v>
      </c>
      <c r="O1043" s="8" t="s">
        <v>75</v>
      </c>
      <c r="P1043" s="6" t="s">
        <v>55</v>
      </c>
      <c r="Q1043" s="8" t="s">
        <v>187</v>
      </c>
      <c r="R1043" s="10" t="s">
        <v>6437</v>
      </c>
      <c r="S1043" s="11"/>
      <c r="T1043" s="6"/>
      <c r="U1043" s="28" t="str">
        <f>HYPERLINK("https://media.infra-m.ru/1893/1893887/cover/1893887.jpg", "Обложка")</f>
        <v>Обложка</v>
      </c>
      <c r="V1043" s="28" t="str">
        <f>HYPERLINK("https://znanium.ru/catalog/product/1893887", "Ознакомиться")</f>
        <v>Ознакомиться</v>
      </c>
      <c r="W1043" s="8" t="s">
        <v>1334</v>
      </c>
      <c r="X1043" s="6"/>
      <c r="Y1043" s="6"/>
      <c r="Z1043" s="6"/>
      <c r="AA1043" s="6" t="s">
        <v>111</v>
      </c>
    </row>
    <row r="1044" spans="1:27" s="4" customFormat="1" ht="51.95" customHeight="1">
      <c r="A1044" s="5">
        <v>0</v>
      </c>
      <c r="B1044" s="6" t="s">
        <v>6438</v>
      </c>
      <c r="C1044" s="7">
        <v>2194.9</v>
      </c>
      <c r="D1044" s="8" t="s">
        <v>6439</v>
      </c>
      <c r="E1044" s="8" t="s">
        <v>6440</v>
      </c>
      <c r="F1044" s="8" t="s">
        <v>3476</v>
      </c>
      <c r="G1044" s="6" t="s">
        <v>83</v>
      </c>
      <c r="H1044" s="6" t="s">
        <v>38</v>
      </c>
      <c r="I1044" s="8" t="s">
        <v>164</v>
      </c>
      <c r="J1044" s="9">
        <v>1</v>
      </c>
      <c r="K1044" s="9">
        <v>495</v>
      </c>
      <c r="L1044" s="9">
        <v>2023</v>
      </c>
      <c r="M1044" s="8" t="s">
        <v>6441</v>
      </c>
      <c r="N1044" s="8" t="s">
        <v>41</v>
      </c>
      <c r="O1044" s="8" t="s">
        <v>65</v>
      </c>
      <c r="P1044" s="6" t="s">
        <v>55</v>
      </c>
      <c r="Q1044" s="8" t="s">
        <v>56</v>
      </c>
      <c r="R1044" s="10" t="s">
        <v>2445</v>
      </c>
      <c r="S1044" s="11" t="s">
        <v>6442</v>
      </c>
      <c r="T1044" s="6"/>
      <c r="U1044" s="28" t="str">
        <f>HYPERLINK("https://media.infra-m.ru/1912/1912995/cover/1912995.jpg", "Обложка")</f>
        <v>Обложка</v>
      </c>
      <c r="V1044" s="28" t="str">
        <f>HYPERLINK("https://znanium.ru/catalog/product/1225056", "Ознакомиться")</f>
        <v>Ознакомиться</v>
      </c>
      <c r="W1044" s="8" t="s">
        <v>1592</v>
      </c>
      <c r="X1044" s="6"/>
      <c r="Y1044" s="6"/>
      <c r="Z1044" s="6"/>
      <c r="AA1044" s="6" t="s">
        <v>364</v>
      </c>
    </row>
    <row r="1045" spans="1:27" s="4" customFormat="1" ht="51.95" customHeight="1">
      <c r="A1045" s="5">
        <v>0</v>
      </c>
      <c r="B1045" s="6" t="s">
        <v>6443</v>
      </c>
      <c r="C1045" s="13">
        <v>744.9</v>
      </c>
      <c r="D1045" s="8" t="s">
        <v>6444</v>
      </c>
      <c r="E1045" s="8" t="s">
        <v>6445</v>
      </c>
      <c r="F1045" s="8" t="s">
        <v>6446</v>
      </c>
      <c r="G1045" s="6" t="s">
        <v>123</v>
      </c>
      <c r="H1045" s="6" t="s">
        <v>1701</v>
      </c>
      <c r="I1045" s="8" t="s">
        <v>155</v>
      </c>
      <c r="J1045" s="9">
        <v>1</v>
      </c>
      <c r="K1045" s="9">
        <v>256</v>
      </c>
      <c r="L1045" s="9">
        <v>2017</v>
      </c>
      <c r="M1045" s="8" t="s">
        <v>6447</v>
      </c>
      <c r="N1045" s="8" t="s">
        <v>41</v>
      </c>
      <c r="O1045" s="8" t="s">
        <v>65</v>
      </c>
      <c r="P1045" s="6" t="s">
        <v>55</v>
      </c>
      <c r="Q1045" s="8" t="s">
        <v>56</v>
      </c>
      <c r="R1045" s="10" t="s">
        <v>6448</v>
      </c>
      <c r="S1045" s="11" t="s">
        <v>6449</v>
      </c>
      <c r="T1045" s="6"/>
      <c r="U1045" s="28" t="str">
        <f>HYPERLINK("https://media.infra-m.ru/0554/0554397/cover/554397.jpg", "Обложка")</f>
        <v>Обложка</v>
      </c>
      <c r="V1045" s="28" t="str">
        <f>HYPERLINK("https://znanium.ru/catalog/product/265697", "Ознакомиться")</f>
        <v>Ознакомиться</v>
      </c>
      <c r="W1045" s="8" t="s">
        <v>3244</v>
      </c>
      <c r="X1045" s="6"/>
      <c r="Y1045" s="6"/>
      <c r="Z1045" s="6"/>
      <c r="AA1045" s="6" t="s">
        <v>96</v>
      </c>
    </row>
    <row r="1046" spans="1:27" s="4" customFormat="1" ht="42" customHeight="1">
      <c r="A1046" s="5">
        <v>0</v>
      </c>
      <c r="B1046" s="6" t="s">
        <v>6450</v>
      </c>
      <c r="C1046" s="13">
        <v>784</v>
      </c>
      <c r="D1046" s="8" t="s">
        <v>6451</v>
      </c>
      <c r="E1046" s="8" t="s">
        <v>6452</v>
      </c>
      <c r="F1046" s="8" t="s">
        <v>420</v>
      </c>
      <c r="G1046" s="6" t="s">
        <v>37</v>
      </c>
      <c r="H1046" s="6" t="s">
        <v>38</v>
      </c>
      <c r="I1046" s="8" t="s">
        <v>39</v>
      </c>
      <c r="J1046" s="9">
        <v>1</v>
      </c>
      <c r="K1046" s="9">
        <v>166</v>
      </c>
      <c r="L1046" s="9">
        <v>2024</v>
      </c>
      <c r="M1046" s="8" t="s">
        <v>6453</v>
      </c>
      <c r="N1046" s="8" t="s">
        <v>41</v>
      </c>
      <c r="O1046" s="8" t="s">
        <v>65</v>
      </c>
      <c r="P1046" s="6" t="s">
        <v>43</v>
      </c>
      <c r="Q1046" s="8" t="s">
        <v>44</v>
      </c>
      <c r="R1046" s="10" t="s">
        <v>5320</v>
      </c>
      <c r="S1046" s="11"/>
      <c r="T1046" s="6"/>
      <c r="U1046" s="28" t="str">
        <f>HYPERLINK("https://media.infra-m.ru/2151/2151395/cover/2151395.jpg", "Обложка")</f>
        <v>Обложка</v>
      </c>
      <c r="V1046" s="28" t="str">
        <f>HYPERLINK("https://znanium.ru/catalog/product/1000561", "Ознакомиться")</f>
        <v>Ознакомиться</v>
      </c>
      <c r="W1046" s="8" t="s">
        <v>423</v>
      </c>
      <c r="X1046" s="6"/>
      <c r="Y1046" s="6"/>
      <c r="Z1046" s="6"/>
      <c r="AA1046" s="6" t="s">
        <v>78</v>
      </c>
    </row>
    <row r="1047" spans="1:27" s="4" customFormat="1" ht="51.95" customHeight="1">
      <c r="A1047" s="5">
        <v>0</v>
      </c>
      <c r="B1047" s="6" t="s">
        <v>6454</v>
      </c>
      <c r="C1047" s="7">
        <v>1970</v>
      </c>
      <c r="D1047" s="8" t="s">
        <v>6455</v>
      </c>
      <c r="E1047" s="8" t="s">
        <v>6456</v>
      </c>
      <c r="F1047" s="8" t="s">
        <v>6457</v>
      </c>
      <c r="G1047" s="6" t="s">
        <v>83</v>
      </c>
      <c r="H1047" s="6" t="s">
        <v>4755</v>
      </c>
      <c r="I1047" s="8"/>
      <c r="J1047" s="9">
        <v>1</v>
      </c>
      <c r="K1047" s="9">
        <v>608</v>
      </c>
      <c r="L1047" s="9">
        <v>2022</v>
      </c>
      <c r="M1047" s="8" t="s">
        <v>6458</v>
      </c>
      <c r="N1047" s="8" t="s">
        <v>41</v>
      </c>
      <c r="O1047" s="8" t="s">
        <v>65</v>
      </c>
      <c r="P1047" s="6" t="s">
        <v>378</v>
      </c>
      <c r="Q1047" s="8" t="s">
        <v>44</v>
      </c>
      <c r="R1047" s="10" t="s">
        <v>2772</v>
      </c>
      <c r="S1047" s="11"/>
      <c r="T1047" s="6"/>
      <c r="U1047" s="28" t="str">
        <f>HYPERLINK("https://media.infra-m.ru/1859/1859880/cover/1859880.jpg", "Обложка")</f>
        <v>Обложка</v>
      </c>
      <c r="V1047" s="28" t="str">
        <f>HYPERLINK("https://znanium.ru/catalog/product/1937940", "Ознакомиться")</f>
        <v>Ознакомиться</v>
      </c>
      <c r="W1047" s="8" t="s">
        <v>1028</v>
      </c>
      <c r="X1047" s="6"/>
      <c r="Y1047" s="6"/>
      <c r="Z1047" s="6"/>
      <c r="AA1047" s="6" t="s">
        <v>826</v>
      </c>
    </row>
    <row r="1048" spans="1:27" s="4" customFormat="1" ht="42" customHeight="1">
      <c r="A1048" s="5">
        <v>0</v>
      </c>
      <c r="B1048" s="6" t="s">
        <v>6459</v>
      </c>
      <c r="C1048" s="13">
        <v>754.9</v>
      </c>
      <c r="D1048" s="8" t="s">
        <v>6460</v>
      </c>
      <c r="E1048" s="8" t="s">
        <v>6461</v>
      </c>
      <c r="F1048" s="8" t="s">
        <v>6462</v>
      </c>
      <c r="G1048" s="6" t="s">
        <v>37</v>
      </c>
      <c r="H1048" s="6" t="s">
        <v>38</v>
      </c>
      <c r="I1048" s="8" t="s">
        <v>39</v>
      </c>
      <c r="J1048" s="9">
        <v>1</v>
      </c>
      <c r="K1048" s="9">
        <v>244</v>
      </c>
      <c r="L1048" s="9">
        <v>2018</v>
      </c>
      <c r="M1048" s="8" t="s">
        <v>6463</v>
      </c>
      <c r="N1048" s="8" t="s">
        <v>41</v>
      </c>
      <c r="O1048" s="8" t="s">
        <v>65</v>
      </c>
      <c r="P1048" s="6" t="s">
        <v>43</v>
      </c>
      <c r="Q1048" s="8" t="s">
        <v>44</v>
      </c>
      <c r="R1048" s="10" t="s">
        <v>3495</v>
      </c>
      <c r="S1048" s="11"/>
      <c r="T1048" s="6"/>
      <c r="U1048" s="28" t="str">
        <f>HYPERLINK("https://media.infra-m.ru/0959/0959942/cover/959942.jpg", "Обложка")</f>
        <v>Обложка</v>
      </c>
      <c r="V1048" s="28" t="str">
        <f>HYPERLINK("https://znanium.ru/catalog/product/959942", "Ознакомиться")</f>
        <v>Ознакомиться</v>
      </c>
      <c r="W1048" s="8" t="s">
        <v>3394</v>
      </c>
      <c r="X1048" s="6"/>
      <c r="Y1048" s="6"/>
      <c r="Z1048" s="6"/>
      <c r="AA1048" s="6" t="s">
        <v>381</v>
      </c>
    </row>
    <row r="1049" spans="1:27" s="4" customFormat="1" ht="51.95" customHeight="1">
      <c r="A1049" s="5">
        <v>0</v>
      </c>
      <c r="B1049" s="6" t="s">
        <v>6464</v>
      </c>
      <c r="C1049" s="7">
        <v>1200</v>
      </c>
      <c r="D1049" s="8" t="s">
        <v>6465</v>
      </c>
      <c r="E1049" s="8" t="s">
        <v>6466</v>
      </c>
      <c r="F1049" s="8" t="s">
        <v>6467</v>
      </c>
      <c r="G1049" s="6" t="s">
        <v>83</v>
      </c>
      <c r="H1049" s="6" t="s">
        <v>317</v>
      </c>
      <c r="I1049" s="8" t="s">
        <v>155</v>
      </c>
      <c r="J1049" s="9">
        <v>1</v>
      </c>
      <c r="K1049" s="9">
        <v>264</v>
      </c>
      <c r="L1049" s="9">
        <v>2023</v>
      </c>
      <c r="M1049" s="8" t="s">
        <v>6468</v>
      </c>
      <c r="N1049" s="8" t="s">
        <v>41</v>
      </c>
      <c r="O1049" s="8" t="s">
        <v>65</v>
      </c>
      <c r="P1049" s="6" t="s">
        <v>176</v>
      </c>
      <c r="Q1049" s="8" t="s">
        <v>177</v>
      </c>
      <c r="R1049" s="10" t="s">
        <v>6469</v>
      </c>
      <c r="S1049" s="11" t="s">
        <v>6470</v>
      </c>
      <c r="T1049" s="6"/>
      <c r="U1049" s="28" t="str">
        <f>HYPERLINK("https://media.infra-m.ru/2002/2002592/cover/2002592.jpg", "Обложка")</f>
        <v>Обложка</v>
      </c>
      <c r="V1049" s="28" t="str">
        <f>HYPERLINK("https://znanium.ru/catalog/product/2002592", "Ознакомиться")</f>
        <v>Ознакомиться</v>
      </c>
      <c r="W1049" s="8"/>
      <c r="X1049" s="6"/>
      <c r="Y1049" s="6"/>
      <c r="Z1049" s="6"/>
      <c r="AA1049" s="6" t="s">
        <v>650</v>
      </c>
    </row>
    <row r="1050" spans="1:27" s="4" customFormat="1" ht="42" customHeight="1">
      <c r="A1050" s="5">
        <v>0</v>
      </c>
      <c r="B1050" s="6" t="s">
        <v>6471</v>
      </c>
      <c r="C1050" s="13">
        <v>934.9</v>
      </c>
      <c r="D1050" s="8" t="s">
        <v>6472</v>
      </c>
      <c r="E1050" s="8" t="s">
        <v>6473</v>
      </c>
      <c r="F1050" s="8" t="s">
        <v>1102</v>
      </c>
      <c r="G1050" s="6" t="s">
        <v>83</v>
      </c>
      <c r="H1050" s="6" t="s">
        <v>38</v>
      </c>
      <c r="I1050" s="8" t="s">
        <v>39</v>
      </c>
      <c r="J1050" s="9">
        <v>1</v>
      </c>
      <c r="K1050" s="9">
        <v>254</v>
      </c>
      <c r="L1050" s="9">
        <v>2021</v>
      </c>
      <c r="M1050" s="8" t="s">
        <v>6474</v>
      </c>
      <c r="N1050" s="8" t="s">
        <v>41</v>
      </c>
      <c r="O1050" s="8" t="s">
        <v>65</v>
      </c>
      <c r="P1050" s="6" t="s">
        <v>43</v>
      </c>
      <c r="Q1050" s="8" t="s">
        <v>44</v>
      </c>
      <c r="R1050" s="10" t="s">
        <v>6475</v>
      </c>
      <c r="S1050" s="11"/>
      <c r="T1050" s="6"/>
      <c r="U1050" s="28" t="str">
        <f>HYPERLINK("https://media.infra-m.ru/1229/1229819/cover/1229819.jpg", "Обложка")</f>
        <v>Обложка</v>
      </c>
      <c r="V1050" s="28" t="str">
        <f>HYPERLINK("https://znanium.ru/catalog/product/1229819", "Ознакомиться")</f>
        <v>Ознакомиться</v>
      </c>
      <c r="W1050" s="8" t="s">
        <v>1105</v>
      </c>
      <c r="X1050" s="6"/>
      <c r="Y1050" s="6"/>
      <c r="Z1050" s="6"/>
      <c r="AA1050" s="6" t="s">
        <v>650</v>
      </c>
    </row>
    <row r="1051" spans="1:27" s="4" customFormat="1" ht="42" customHeight="1">
      <c r="A1051" s="5">
        <v>0</v>
      </c>
      <c r="B1051" s="6" t="s">
        <v>6476</v>
      </c>
      <c r="C1051" s="13">
        <v>824</v>
      </c>
      <c r="D1051" s="8" t="s">
        <v>6477</v>
      </c>
      <c r="E1051" s="8" t="s">
        <v>6478</v>
      </c>
      <c r="F1051" s="8" t="s">
        <v>6479</v>
      </c>
      <c r="G1051" s="6" t="s">
        <v>83</v>
      </c>
      <c r="H1051" s="6" t="s">
        <v>38</v>
      </c>
      <c r="I1051" s="8" t="s">
        <v>39</v>
      </c>
      <c r="J1051" s="9">
        <v>1</v>
      </c>
      <c r="K1051" s="9">
        <v>174</v>
      </c>
      <c r="L1051" s="9">
        <v>2024</v>
      </c>
      <c r="M1051" s="8" t="s">
        <v>6480</v>
      </c>
      <c r="N1051" s="8" t="s">
        <v>41</v>
      </c>
      <c r="O1051" s="8" t="s">
        <v>65</v>
      </c>
      <c r="P1051" s="6" t="s">
        <v>43</v>
      </c>
      <c r="Q1051" s="8" t="s">
        <v>44</v>
      </c>
      <c r="R1051" s="10" t="s">
        <v>5320</v>
      </c>
      <c r="S1051" s="11"/>
      <c r="T1051" s="6"/>
      <c r="U1051" s="28" t="str">
        <f>HYPERLINK("https://media.infra-m.ru/2152/2152117/cover/2152117.jpg", "Обложка")</f>
        <v>Обложка</v>
      </c>
      <c r="V1051" s="28" t="str">
        <f>HYPERLINK("https://znanium.ru/catalog/product/1010796", "Ознакомиться")</f>
        <v>Ознакомиться</v>
      </c>
      <c r="W1051" s="8"/>
      <c r="X1051" s="6"/>
      <c r="Y1051" s="6"/>
      <c r="Z1051" s="6"/>
      <c r="AA1051" s="6" t="s">
        <v>650</v>
      </c>
    </row>
    <row r="1052" spans="1:27" s="4" customFormat="1" ht="51.95" customHeight="1">
      <c r="A1052" s="5">
        <v>0</v>
      </c>
      <c r="B1052" s="6" t="s">
        <v>6481</v>
      </c>
      <c r="C1052" s="7">
        <v>1100</v>
      </c>
      <c r="D1052" s="8" t="s">
        <v>6482</v>
      </c>
      <c r="E1052" s="8" t="s">
        <v>6483</v>
      </c>
      <c r="F1052" s="8" t="s">
        <v>1721</v>
      </c>
      <c r="G1052" s="6" t="s">
        <v>83</v>
      </c>
      <c r="H1052" s="6" t="s">
        <v>38</v>
      </c>
      <c r="I1052" s="8" t="s">
        <v>155</v>
      </c>
      <c r="J1052" s="9">
        <v>1</v>
      </c>
      <c r="K1052" s="9">
        <v>237</v>
      </c>
      <c r="L1052" s="9">
        <v>2024</v>
      </c>
      <c r="M1052" s="8" t="s">
        <v>6484</v>
      </c>
      <c r="N1052" s="8" t="s">
        <v>41</v>
      </c>
      <c r="O1052" s="8" t="s">
        <v>65</v>
      </c>
      <c r="P1052" s="6" t="s">
        <v>55</v>
      </c>
      <c r="Q1052" s="8" t="s">
        <v>56</v>
      </c>
      <c r="R1052" s="10" t="s">
        <v>6485</v>
      </c>
      <c r="S1052" s="11" t="s">
        <v>1724</v>
      </c>
      <c r="T1052" s="6"/>
      <c r="U1052" s="28" t="str">
        <f>HYPERLINK("https://media.infra-m.ru/2103/2103734/cover/2103734.jpg", "Обложка")</f>
        <v>Обложка</v>
      </c>
      <c r="V1052" s="28" t="str">
        <f>HYPERLINK("https://znanium.ru/catalog/product/2103734", "Ознакомиться")</f>
        <v>Ознакомиться</v>
      </c>
      <c r="W1052" s="8" t="s">
        <v>1028</v>
      </c>
      <c r="X1052" s="6"/>
      <c r="Y1052" s="6"/>
      <c r="Z1052" s="6"/>
      <c r="AA1052" s="6" t="s">
        <v>364</v>
      </c>
    </row>
    <row r="1053" spans="1:27" s="4" customFormat="1" ht="51.95" customHeight="1">
      <c r="A1053" s="5">
        <v>0</v>
      </c>
      <c r="B1053" s="6" t="s">
        <v>6486</v>
      </c>
      <c r="C1053" s="7">
        <v>1324.9</v>
      </c>
      <c r="D1053" s="8" t="s">
        <v>6487</v>
      </c>
      <c r="E1053" s="8" t="s">
        <v>6488</v>
      </c>
      <c r="F1053" s="8" t="s">
        <v>6489</v>
      </c>
      <c r="G1053" s="6" t="s">
        <v>123</v>
      </c>
      <c r="H1053" s="6" t="s">
        <v>38</v>
      </c>
      <c r="I1053" s="8" t="s">
        <v>164</v>
      </c>
      <c r="J1053" s="9">
        <v>1</v>
      </c>
      <c r="K1053" s="9">
        <v>295</v>
      </c>
      <c r="L1053" s="9">
        <v>2023</v>
      </c>
      <c r="M1053" s="8" t="s">
        <v>6490</v>
      </c>
      <c r="N1053" s="8" t="s">
        <v>41</v>
      </c>
      <c r="O1053" s="8" t="s">
        <v>65</v>
      </c>
      <c r="P1053" s="6" t="s">
        <v>55</v>
      </c>
      <c r="Q1053" s="8" t="s">
        <v>56</v>
      </c>
      <c r="R1053" s="10" t="s">
        <v>6491</v>
      </c>
      <c r="S1053" s="11"/>
      <c r="T1053" s="6"/>
      <c r="U1053" s="28" t="str">
        <f>HYPERLINK("https://media.infra-m.ru/1981/1981675/cover/1981675.jpg", "Обложка")</f>
        <v>Обложка</v>
      </c>
      <c r="V1053" s="28" t="str">
        <f>HYPERLINK("https://znanium.ru/catalog/product/1981675", "Ознакомиться")</f>
        <v>Ознакомиться</v>
      </c>
      <c r="W1053" s="8" t="s">
        <v>409</v>
      </c>
      <c r="X1053" s="6"/>
      <c r="Y1053" s="6"/>
      <c r="Z1053" s="6"/>
      <c r="AA1053" s="6" t="s">
        <v>59</v>
      </c>
    </row>
    <row r="1054" spans="1:27" s="4" customFormat="1" ht="51.95" customHeight="1">
      <c r="A1054" s="5">
        <v>0</v>
      </c>
      <c r="B1054" s="6" t="s">
        <v>6492</v>
      </c>
      <c r="C1054" s="7">
        <v>1584</v>
      </c>
      <c r="D1054" s="8" t="s">
        <v>6493</v>
      </c>
      <c r="E1054" s="8" t="s">
        <v>6494</v>
      </c>
      <c r="F1054" s="8" t="s">
        <v>6495</v>
      </c>
      <c r="G1054" s="6" t="s">
        <v>123</v>
      </c>
      <c r="H1054" s="6" t="s">
        <v>528</v>
      </c>
      <c r="I1054" s="8" t="s">
        <v>3805</v>
      </c>
      <c r="J1054" s="9">
        <v>1</v>
      </c>
      <c r="K1054" s="9">
        <v>336</v>
      </c>
      <c r="L1054" s="9">
        <v>2024</v>
      </c>
      <c r="M1054" s="8" t="s">
        <v>6496</v>
      </c>
      <c r="N1054" s="8" t="s">
        <v>41</v>
      </c>
      <c r="O1054" s="8" t="s">
        <v>65</v>
      </c>
      <c r="P1054" s="6" t="s">
        <v>176</v>
      </c>
      <c r="Q1054" s="8" t="s">
        <v>56</v>
      </c>
      <c r="R1054" s="10" t="s">
        <v>6497</v>
      </c>
      <c r="S1054" s="11"/>
      <c r="T1054" s="6"/>
      <c r="U1054" s="28" t="str">
        <f>HYPERLINK("https://media.infra-m.ru/2104/2104847/cover/2104847.jpg", "Обложка")</f>
        <v>Обложка</v>
      </c>
      <c r="V1054" s="28" t="str">
        <f>HYPERLINK("https://znanium.ru/catalog/product/2104847", "Ознакомиться")</f>
        <v>Ознакомиться</v>
      </c>
      <c r="W1054" s="8" t="s">
        <v>4047</v>
      </c>
      <c r="X1054" s="6"/>
      <c r="Y1054" s="6"/>
      <c r="Z1054" s="6"/>
      <c r="AA1054" s="6" t="s">
        <v>306</v>
      </c>
    </row>
    <row r="1055" spans="1:27" s="4" customFormat="1" ht="42" customHeight="1">
      <c r="A1055" s="5">
        <v>0</v>
      </c>
      <c r="B1055" s="6" t="s">
        <v>6498</v>
      </c>
      <c r="C1055" s="13">
        <v>900</v>
      </c>
      <c r="D1055" s="8" t="s">
        <v>6499</v>
      </c>
      <c r="E1055" s="8" t="s">
        <v>6500</v>
      </c>
      <c r="F1055" s="8" t="s">
        <v>6501</v>
      </c>
      <c r="G1055" s="6" t="s">
        <v>37</v>
      </c>
      <c r="H1055" s="6" t="s">
        <v>317</v>
      </c>
      <c r="I1055" s="8" t="s">
        <v>155</v>
      </c>
      <c r="J1055" s="9">
        <v>1</v>
      </c>
      <c r="K1055" s="9">
        <v>189</v>
      </c>
      <c r="L1055" s="9">
        <v>2024</v>
      </c>
      <c r="M1055" s="8" t="s">
        <v>6502</v>
      </c>
      <c r="N1055" s="8" t="s">
        <v>41</v>
      </c>
      <c r="O1055" s="8" t="s">
        <v>65</v>
      </c>
      <c r="P1055" s="6" t="s">
        <v>176</v>
      </c>
      <c r="Q1055" s="8" t="s">
        <v>56</v>
      </c>
      <c r="R1055" s="10" t="s">
        <v>2130</v>
      </c>
      <c r="S1055" s="11"/>
      <c r="T1055" s="6"/>
      <c r="U1055" s="28" t="str">
        <f>HYPERLINK("https://media.infra-m.ru/1948/1948190/cover/1948190.jpg", "Обложка")</f>
        <v>Обложка</v>
      </c>
      <c r="V1055" s="28" t="str">
        <f>HYPERLINK("https://znanium.ru/catalog/product/1948190", "Ознакомиться")</f>
        <v>Ознакомиться</v>
      </c>
      <c r="W1055" s="8" t="s">
        <v>1841</v>
      </c>
      <c r="X1055" s="6"/>
      <c r="Y1055" s="6"/>
      <c r="Z1055" s="6"/>
      <c r="AA1055" s="6" t="s">
        <v>650</v>
      </c>
    </row>
    <row r="1056" spans="1:27" s="4" customFormat="1" ht="51.95" customHeight="1">
      <c r="A1056" s="5">
        <v>0</v>
      </c>
      <c r="B1056" s="6" t="s">
        <v>6503</v>
      </c>
      <c r="C1056" s="13">
        <v>874</v>
      </c>
      <c r="D1056" s="8" t="s">
        <v>6504</v>
      </c>
      <c r="E1056" s="8" t="s">
        <v>6505</v>
      </c>
      <c r="F1056" s="8" t="s">
        <v>6506</v>
      </c>
      <c r="G1056" s="6" t="s">
        <v>37</v>
      </c>
      <c r="H1056" s="6" t="s">
        <v>38</v>
      </c>
      <c r="I1056" s="8" t="s">
        <v>164</v>
      </c>
      <c r="J1056" s="9">
        <v>1</v>
      </c>
      <c r="K1056" s="9">
        <v>190</v>
      </c>
      <c r="L1056" s="9">
        <v>2024</v>
      </c>
      <c r="M1056" s="8" t="s">
        <v>6507</v>
      </c>
      <c r="N1056" s="8" t="s">
        <v>41</v>
      </c>
      <c r="O1056" s="8" t="s">
        <v>65</v>
      </c>
      <c r="P1056" s="6" t="s">
        <v>55</v>
      </c>
      <c r="Q1056" s="8" t="s">
        <v>56</v>
      </c>
      <c r="R1056" s="10" t="s">
        <v>4500</v>
      </c>
      <c r="S1056" s="11" t="s">
        <v>6508</v>
      </c>
      <c r="T1056" s="6"/>
      <c r="U1056" s="28" t="str">
        <f>HYPERLINK("https://media.infra-m.ru/2091/2091927/cover/2091927.jpg", "Обложка")</f>
        <v>Обложка</v>
      </c>
      <c r="V1056" s="28" t="str">
        <f>HYPERLINK("https://znanium.ru/catalog/product/1010817", "Ознакомиться")</f>
        <v>Ознакомиться</v>
      </c>
      <c r="W1056" s="8" t="s">
        <v>6509</v>
      </c>
      <c r="X1056" s="6"/>
      <c r="Y1056" s="6"/>
      <c r="Z1056" s="6"/>
      <c r="AA1056" s="6" t="s">
        <v>59</v>
      </c>
    </row>
    <row r="1057" spans="1:27" s="4" customFormat="1" ht="51.95" customHeight="1">
      <c r="A1057" s="5">
        <v>0</v>
      </c>
      <c r="B1057" s="6" t="s">
        <v>6510</v>
      </c>
      <c r="C1057" s="7">
        <v>1070</v>
      </c>
      <c r="D1057" s="8" t="s">
        <v>6511</v>
      </c>
      <c r="E1057" s="8" t="s">
        <v>6512</v>
      </c>
      <c r="F1057" s="8" t="s">
        <v>6513</v>
      </c>
      <c r="G1057" s="6" t="s">
        <v>83</v>
      </c>
      <c r="H1057" s="6" t="s">
        <v>38</v>
      </c>
      <c r="I1057" s="8" t="s">
        <v>155</v>
      </c>
      <c r="J1057" s="9">
        <v>1</v>
      </c>
      <c r="K1057" s="9">
        <v>231</v>
      </c>
      <c r="L1057" s="9">
        <v>2024</v>
      </c>
      <c r="M1057" s="8" t="s">
        <v>6514</v>
      </c>
      <c r="N1057" s="8" t="s">
        <v>41</v>
      </c>
      <c r="O1057" s="8" t="s">
        <v>65</v>
      </c>
      <c r="P1057" s="6" t="s">
        <v>176</v>
      </c>
      <c r="Q1057" s="8" t="s">
        <v>177</v>
      </c>
      <c r="R1057" s="10" t="s">
        <v>6515</v>
      </c>
      <c r="S1057" s="11" t="s">
        <v>6516</v>
      </c>
      <c r="T1057" s="6"/>
      <c r="U1057" s="28" t="str">
        <f>HYPERLINK("https://media.infra-m.ru/2080/2080362/cover/2080362.jpg", "Обложка")</f>
        <v>Обложка</v>
      </c>
      <c r="V1057" s="28" t="str">
        <f>HYPERLINK("https://znanium.ru/catalog/product/2080362", "Ознакомиться")</f>
        <v>Ознакомиться</v>
      </c>
      <c r="W1057" s="8" t="s">
        <v>474</v>
      </c>
      <c r="X1057" s="6"/>
      <c r="Y1057" s="6"/>
      <c r="Z1057" s="6"/>
      <c r="AA1057" s="6" t="s">
        <v>68</v>
      </c>
    </row>
    <row r="1058" spans="1:27" s="4" customFormat="1" ht="51.95" customHeight="1">
      <c r="A1058" s="5">
        <v>0</v>
      </c>
      <c r="B1058" s="6" t="s">
        <v>6517</v>
      </c>
      <c r="C1058" s="7">
        <v>1260</v>
      </c>
      <c r="D1058" s="8" t="s">
        <v>6518</v>
      </c>
      <c r="E1058" s="8" t="s">
        <v>6519</v>
      </c>
      <c r="F1058" s="8" t="s">
        <v>6520</v>
      </c>
      <c r="G1058" s="6" t="s">
        <v>83</v>
      </c>
      <c r="H1058" s="6" t="s">
        <v>38</v>
      </c>
      <c r="I1058" s="8" t="s">
        <v>155</v>
      </c>
      <c r="J1058" s="9">
        <v>1</v>
      </c>
      <c r="K1058" s="9">
        <v>274</v>
      </c>
      <c r="L1058" s="9">
        <v>2023</v>
      </c>
      <c r="M1058" s="8" t="s">
        <v>6521</v>
      </c>
      <c r="N1058" s="8" t="s">
        <v>41</v>
      </c>
      <c r="O1058" s="8" t="s">
        <v>65</v>
      </c>
      <c r="P1058" s="6" t="s">
        <v>176</v>
      </c>
      <c r="Q1058" s="8" t="s">
        <v>177</v>
      </c>
      <c r="R1058" s="10" t="s">
        <v>6522</v>
      </c>
      <c r="S1058" s="11" t="s">
        <v>6523</v>
      </c>
      <c r="T1058" s="6"/>
      <c r="U1058" s="28" t="str">
        <f>HYPERLINK("https://media.infra-m.ru/2023/2023167/cover/2023167.jpg", "Обложка")</f>
        <v>Обложка</v>
      </c>
      <c r="V1058" s="28" t="str">
        <f>HYPERLINK("https://znanium.ru/catalog/product/2023167", "Ознакомиться")</f>
        <v>Ознакомиться</v>
      </c>
      <c r="W1058" s="8" t="s">
        <v>474</v>
      </c>
      <c r="X1058" s="6"/>
      <c r="Y1058" s="6"/>
      <c r="Z1058" s="6"/>
      <c r="AA1058" s="6" t="s">
        <v>650</v>
      </c>
    </row>
    <row r="1059" spans="1:27" s="4" customFormat="1" ht="44.1" customHeight="1">
      <c r="A1059" s="5">
        <v>0</v>
      </c>
      <c r="B1059" s="6" t="s">
        <v>6524</v>
      </c>
      <c r="C1059" s="13">
        <v>854.9</v>
      </c>
      <c r="D1059" s="8" t="s">
        <v>6525</v>
      </c>
      <c r="E1059" s="8" t="s">
        <v>6519</v>
      </c>
      <c r="F1059" s="8" t="s">
        <v>4162</v>
      </c>
      <c r="G1059" s="6" t="s">
        <v>123</v>
      </c>
      <c r="H1059" s="6" t="s">
        <v>1701</v>
      </c>
      <c r="I1059" s="8" t="s">
        <v>155</v>
      </c>
      <c r="J1059" s="9">
        <v>1</v>
      </c>
      <c r="K1059" s="9">
        <v>224</v>
      </c>
      <c r="L1059" s="9">
        <v>2022</v>
      </c>
      <c r="M1059" s="8" t="s">
        <v>6526</v>
      </c>
      <c r="N1059" s="8" t="s">
        <v>41</v>
      </c>
      <c r="O1059" s="8" t="s">
        <v>65</v>
      </c>
      <c r="P1059" s="6" t="s">
        <v>55</v>
      </c>
      <c r="Q1059" s="8" t="s">
        <v>56</v>
      </c>
      <c r="R1059" s="10" t="s">
        <v>428</v>
      </c>
      <c r="S1059" s="11"/>
      <c r="T1059" s="6"/>
      <c r="U1059" s="28" t="str">
        <f>HYPERLINK("https://media.infra-m.ru/1852/1852243/cover/1852243.jpg", "Обложка")</f>
        <v>Обложка</v>
      </c>
      <c r="V1059" s="28" t="str">
        <f>HYPERLINK("https://znanium.ru/catalog/product/1852243", "Ознакомиться")</f>
        <v>Ознакомиться</v>
      </c>
      <c r="W1059" s="8" t="s">
        <v>2712</v>
      </c>
      <c r="X1059" s="6"/>
      <c r="Y1059" s="6"/>
      <c r="Z1059" s="6"/>
      <c r="AA1059" s="6" t="s">
        <v>290</v>
      </c>
    </row>
    <row r="1060" spans="1:27" s="4" customFormat="1" ht="51.95" customHeight="1">
      <c r="A1060" s="5">
        <v>0</v>
      </c>
      <c r="B1060" s="6" t="s">
        <v>6527</v>
      </c>
      <c r="C1060" s="7">
        <v>1144.9000000000001</v>
      </c>
      <c r="D1060" s="8" t="s">
        <v>6528</v>
      </c>
      <c r="E1060" s="8" t="s">
        <v>6529</v>
      </c>
      <c r="F1060" s="8" t="s">
        <v>2708</v>
      </c>
      <c r="G1060" s="6" t="s">
        <v>83</v>
      </c>
      <c r="H1060" s="6" t="s">
        <v>1701</v>
      </c>
      <c r="I1060" s="8" t="s">
        <v>155</v>
      </c>
      <c r="J1060" s="9">
        <v>1</v>
      </c>
      <c r="K1060" s="9">
        <v>254</v>
      </c>
      <c r="L1060" s="9">
        <v>2023</v>
      </c>
      <c r="M1060" s="8" t="s">
        <v>6530</v>
      </c>
      <c r="N1060" s="8" t="s">
        <v>41</v>
      </c>
      <c r="O1060" s="8" t="s">
        <v>65</v>
      </c>
      <c r="P1060" s="6" t="s">
        <v>55</v>
      </c>
      <c r="Q1060" s="8" t="s">
        <v>56</v>
      </c>
      <c r="R1060" s="10" t="s">
        <v>6531</v>
      </c>
      <c r="S1060" s="11" t="s">
        <v>6532</v>
      </c>
      <c r="T1060" s="6"/>
      <c r="U1060" s="28" t="str">
        <f>HYPERLINK("https://media.infra-m.ru/2001/2001697/cover/2001697.jpg", "Обложка")</f>
        <v>Обложка</v>
      </c>
      <c r="V1060" s="28" t="str">
        <f>HYPERLINK("https://znanium.ru/catalog/product/2001697", "Ознакомиться")</f>
        <v>Ознакомиться</v>
      </c>
      <c r="W1060" s="8" t="s">
        <v>2712</v>
      </c>
      <c r="X1060" s="6"/>
      <c r="Y1060" s="6"/>
      <c r="Z1060" s="6"/>
      <c r="AA1060" s="6" t="s">
        <v>650</v>
      </c>
    </row>
    <row r="1061" spans="1:27" s="4" customFormat="1" ht="51.95" customHeight="1">
      <c r="A1061" s="5">
        <v>0</v>
      </c>
      <c r="B1061" s="6" t="s">
        <v>6533</v>
      </c>
      <c r="C1061" s="13">
        <v>594.9</v>
      </c>
      <c r="D1061" s="8" t="s">
        <v>6534</v>
      </c>
      <c r="E1061" s="8" t="s">
        <v>6535</v>
      </c>
      <c r="F1061" s="8" t="s">
        <v>1721</v>
      </c>
      <c r="G1061" s="6" t="s">
        <v>37</v>
      </c>
      <c r="H1061" s="6" t="s">
        <v>38</v>
      </c>
      <c r="I1061" s="8" t="s">
        <v>39</v>
      </c>
      <c r="J1061" s="9">
        <v>1</v>
      </c>
      <c r="K1061" s="9">
        <v>192</v>
      </c>
      <c r="L1061" s="9">
        <v>2018</v>
      </c>
      <c r="M1061" s="8" t="s">
        <v>6536</v>
      </c>
      <c r="N1061" s="8" t="s">
        <v>41</v>
      </c>
      <c r="O1061" s="8" t="s">
        <v>65</v>
      </c>
      <c r="P1061" s="6" t="s">
        <v>43</v>
      </c>
      <c r="Q1061" s="8" t="s">
        <v>44</v>
      </c>
      <c r="R1061" s="10" t="s">
        <v>6537</v>
      </c>
      <c r="S1061" s="11"/>
      <c r="T1061" s="6"/>
      <c r="U1061" s="28" t="str">
        <f>HYPERLINK("https://media.infra-m.ru/0937/0937981/cover/937981.jpg", "Обложка")</f>
        <v>Обложка</v>
      </c>
      <c r="V1061" s="28" t="str">
        <f>HYPERLINK("https://znanium.ru/catalog/product/937981", "Ознакомиться")</f>
        <v>Ознакомиться</v>
      </c>
      <c r="W1061" s="8" t="s">
        <v>1028</v>
      </c>
      <c r="X1061" s="6"/>
      <c r="Y1061" s="6"/>
      <c r="Z1061" s="6"/>
      <c r="AA1061" s="6" t="s">
        <v>364</v>
      </c>
    </row>
    <row r="1062" spans="1:27" s="4" customFormat="1" ht="51.95" customHeight="1">
      <c r="A1062" s="5">
        <v>0</v>
      </c>
      <c r="B1062" s="6" t="s">
        <v>6538</v>
      </c>
      <c r="C1062" s="7">
        <v>1064</v>
      </c>
      <c r="D1062" s="8" t="s">
        <v>6539</v>
      </c>
      <c r="E1062" s="8" t="s">
        <v>6540</v>
      </c>
      <c r="F1062" s="8" t="s">
        <v>4748</v>
      </c>
      <c r="G1062" s="6" t="s">
        <v>123</v>
      </c>
      <c r="H1062" s="6" t="s">
        <v>317</v>
      </c>
      <c r="I1062" s="8" t="s">
        <v>164</v>
      </c>
      <c r="J1062" s="9">
        <v>1</v>
      </c>
      <c r="K1062" s="9">
        <v>235</v>
      </c>
      <c r="L1062" s="9">
        <v>2023</v>
      </c>
      <c r="M1062" s="8" t="s">
        <v>6541</v>
      </c>
      <c r="N1062" s="8" t="s">
        <v>41</v>
      </c>
      <c r="O1062" s="8" t="s">
        <v>65</v>
      </c>
      <c r="P1062" s="6" t="s">
        <v>176</v>
      </c>
      <c r="Q1062" s="8" t="s">
        <v>56</v>
      </c>
      <c r="R1062" s="10" t="s">
        <v>6542</v>
      </c>
      <c r="S1062" s="11" t="s">
        <v>6543</v>
      </c>
      <c r="T1062" s="6"/>
      <c r="U1062" s="28" t="str">
        <f>HYPERLINK("https://media.infra-m.ru/1925/1925533/cover/1925533.jpg", "Обложка")</f>
        <v>Обложка</v>
      </c>
      <c r="V1062" s="28" t="str">
        <f>HYPERLINK("https://znanium.ru/catalog/product/1925533", "Ознакомиться")</f>
        <v>Ознакомиться</v>
      </c>
      <c r="W1062" s="8" t="s">
        <v>2144</v>
      </c>
      <c r="X1062" s="6"/>
      <c r="Y1062" s="6"/>
      <c r="Z1062" s="6"/>
      <c r="AA1062" s="6" t="s">
        <v>59</v>
      </c>
    </row>
    <row r="1063" spans="1:27" s="4" customFormat="1" ht="51.95" customHeight="1">
      <c r="A1063" s="5">
        <v>0</v>
      </c>
      <c r="B1063" s="6" t="s">
        <v>6544</v>
      </c>
      <c r="C1063" s="7">
        <v>1424</v>
      </c>
      <c r="D1063" s="8" t="s">
        <v>6545</v>
      </c>
      <c r="E1063" s="8" t="s">
        <v>6546</v>
      </c>
      <c r="F1063" s="8" t="s">
        <v>6547</v>
      </c>
      <c r="G1063" s="6" t="s">
        <v>123</v>
      </c>
      <c r="H1063" s="6" t="s">
        <v>38</v>
      </c>
      <c r="I1063" s="8" t="s">
        <v>164</v>
      </c>
      <c r="J1063" s="9">
        <v>1</v>
      </c>
      <c r="K1063" s="9">
        <v>304</v>
      </c>
      <c r="L1063" s="9">
        <v>2024</v>
      </c>
      <c r="M1063" s="8" t="s">
        <v>6548</v>
      </c>
      <c r="N1063" s="8" t="s">
        <v>41</v>
      </c>
      <c r="O1063" s="8" t="s">
        <v>65</v>
      </c>
      <c r="P1063" s="6" t="s">
        <v>55</v>
      </c>
      <c r="Q1063" s="8" t="s">
        <v>56</v>
      </c>
      <c r="R1063" s="10" t="s">
        <v>6549</v>
      </c>
      <c r="S1063" s="11" t="s">
        <v>6550</v>
      </c>
      <c r="T1063" s="6"/>
      <c r="U1063" s="28" t="str">
        <f>HYPERLINK("https://media.infra-m.ru/2136/2136880/cover/2136880.jpg", "Обложка")</f>
        <v>Обложка</v>
      </c>
      <c r="V1063" s="28" t="str">
        <f>HYPERLINK("https://znanium.ru/catalog/product/2136880", "Ознакомиться")</f>
        <v>Ознакомиться</v>
      </c>
      <c r="W1063" s="8" t="s">
        <v>1028</v>
      </c>
      <c r="X1063" s="6"/>
      <c r="Y1063" s="6"/>
      <c r="Z1063" s="6"/>
      <c r="AA1063" s="6" t="s">
        <v>6551</v>
      </c>
    </row>
    <row r="1064" spans="1:27" s="4" customFormat="1" ht="44.1" customHeight="1">
      <c r="A1064" s="5">
        <v>0</v>
      </c>
      <c r="B1064" s="6" t="s">
        <v>6552</v>
      </c>
      <c r="C1064" s="13">
        <v>884</v>
      </c>
      <c r="D1064" s="8" t="s">
        <v>6553</v>
      </c>
      <c r="E1064" s="8" t="s">
        <v>6554</v>
      </c>
      <c r="F1064" s="8" t="s">
        <v>2708</v>
      </c>
      <c r="G1064" s="6" t="s">
        <v>37</v>
      </c>
      <c r="H1064" s="6" t="s">
        <v>1701</v>
      </c>
      <c r="I1064" s="8" t="s">
        <v>155</v>
      </c>
      <c r="J1064" s="9">
        <v>1</v>
      </c>
      <c r="K1064" s="9">
        <v>192</v>
      </c>
      <c r="L1064" s="9">
        <v>2024</v>
      </c>
      <c r="M1064" s="8" t="s">
        <v>6555</v>
      </c>
      <c r="N1064" s="8" t="s">
        <v>41</v>
      </c>
      <c r="O1064" s="8" t="s">
        <v>65</v>
      </c>
      <c r="P1064" s="6" t="s">
        <v>55</v>
      </c>
      <c r="Q1064" s="8" t="s">
        <v>56</v>
      </c>
      <c r="R1064" s="10" t="s">
        <v>6556</v>
      </c>
      <c r="S1064" s="11"/>
      <c r="T1064" s="6"/>
      <c r="U1064" s="28" t="str">
        <f>HYPERLINK("https://media.infra-m.ru/2091/2091906/cover/2091906.jpg", "Обложка")</f>
        <v>Обложка</v>
      </c>
      <c r="V1064" s="28" t="str">
        <f>HYPERLINK("https://znanium.ru/catalog/product/1743739", "Ознакомиться")</f>
        <v>Ознакомиться</v>
      </c>
      <c r="W1064" s="8" t="s">
        <v>2712</v>
      </c>
      <c r="X1064" s="6"/>
      <c r="Y1064" s="6"/>
      <c r="Z1064" s="6"/>
      <c r="AA1064" s="6" t="s">
        <v>364</v>
      </c>
    </row>
    <row r="1065" spans="1:27" s="4" customFormat="1" ht="51.95" customHeight="1">
      <c r="A1065" s="5">
        <v>0</v>
      </c>
      <c r="B1065" s="6" t="s">
        <v>6557</v>
      </c>
      <c r="C1065" s="7">
        <v>2870</v>
      </c>
      <c r="D1065" s="8" t="s">
        <v>6558</v>
      </c>
      <c r="E1065" s="8" t="s">
        <v>6559</v>
      </c>
      <c r="F1065" s="8" t="s">
        <v>6560</v>
      </c>
      <c r="G1065" s="6" t="s">
        <v>123</v>
      </c>
      <c r="H1065" s="6" t="s">
        <v>38</v>
      </c>
      <c r="I1065" s="8" t="s">
        <v>164</v>
      </c>
      <c r="J1065" s="9">
        <v>1</v>
      </c>
      <c r="K1065" s="9">
        <v>637</v>
      </c>
      <c r="L1065" s="9">
        <v>2023</v>
      </c>
      <c r="M1065" s="8" t="s">
        <v>6561</v>
      </c>
      <c r="N1065" s="8" t="s">
        <v>41</v>
      </c>
      <c r="O1065" s="8" t="s">
        <v>65</v>
      </c>
      <c r="P1065" s="6" t="s">
        <v>176</v>
      </c>
      <c r="Q1065" s="8" t="s">
        <v>56</v>
      </c>
      <c r="R1065" s="10" t="s">
        <v>6556</v>
      </c>
      <c r="S1065" s="11" t="s">
        <v>6562</v>
      </c>
      <c r="T1065" s="6"/>
      <c r="U1065" s="28" t="str">
        <f>HYPERLINK("https://media.infra-m.ru/1932/1932287/cover/1932287.jpg", "Обложка")</f>
        <v>Обложка</v>
      </c>
      <c r="V1065" s="28" t="str">
        <f>HYPERLINK("https://znanium.ru/catalog/product/1932287", "Ознакомиться")</f>
        <v>Ознакомиться</v>
      </c>
      <c r="W1065" s="8" t="s">
        <v>3497</v>
      </c>
      <c r="X1065" s="6"/>
      <c r="Y1065" s="6"/>
      <c r="Z1065" s="6"/>
      <c r="AA1065" s="6" t="s">
        <v>2727</v>
      </c>
    </row>
    <row r="1066" spans="1:27" s="4" customFormat="1" ht="51.95" customHeight="1">
      <c r="A1066" s="5">
        <v>0</v>
      </c>
      <c r="B1066" s="6" t="s">
        <v>6563</v>
      </c>
      <c r="C1066" s="7">
        <v>1194.9000000000001</v>
      </c>
      <c r="D1066" s="8" t="s">
        <v>6564</v>
      </c>
      <c r="E1066" s="8" t="s">
        <v>6565</v>
      </c>
      <c r="F1066" s="8" t="s">
        <v>6566</v>
      </c>
      <c r="G1066" s="6" t="s">
        <v>123</v>
      </c>
      <c r="H1066" s="6" t="s">
        <v>38</v>
      </c>
      <c r="I1066" s="8" t="s">
        <v>884</v>
      </c>
      <c r="J1066" s="9">
        <v>1</v>
      </c>
      <c r="K1066" s="9">
        <v>265</v>
      </c>
      <c r="L1066" s="9">
        <v>2023</v>
      </c>
      <c r="M1066" s="8" t="s">
        <v>6567</v>
      </c>
      <c r="N1066" s="8" t="s">
        <v>41</v>
      </c>
      <c r="O1066" s="8" t="s">
        <v>65</v>
      </c>
      <c r="P1066" s="6" t="s">
        <v>55</v>
      </c>
      <c r="Q1066" s="8" t="s">
        <v>594</v>
      </c>
      <c r="R1066" s="10" t="s">
        <v>6568</v>
      </c>
      <c r="S1066" s="11" t="s">
        <v>6569</v>
      </c>
      <c r="T1066" s="6"/>
      <c r="U1066" s="28" t="str">
        <f>HYPERLINK("https://media.infra-m.ru/2006/2006900/cover/2006900.jpg", "Обложка")</f>
        <v>Обложка</v>
      </c>
      <c r="V1066" s="28" t="str">
        <f>HYPERLINK("https://znanium.ru/catalog/product/974230", "Ознакомиться")</f>
        <v>Ознакомиться</v>
      </c>
      <c r="W1066" s="8" t="s">
        <v>6570</v>
      </c>
      <c r="X1066" s="6"/>
      <c r="Y1066" s="6"/>
      <c r="Z1066" s="6"/>
      <c r="AA1066" s="6" t="s">
        <v>78</v>
      </c>
    </row>
    <row r="1067" spans="1:27" s="4" customFormat="1" ht="51.95" customHeight="1">
      <c r="A1067" s="5">
        <v>0</v>
      </c>
      <c r="B1067" s="6" t="s">
        <v>6571</v>
      </c>
      <c r="C1067" s="7">
        <v>1574.9</v>
      </c>
      <c r="D1067" s="8" t="s">
        <v>6572</v>
      </c>
      <c r="E1067" s="8" t="s">
        <v>6573</v>
      </c>
      <c r="F1067" s="8" t="s">
        <v>6574</v>
      </c>
      <c r="G1067" s="6" t="s">
        <v>123</v>
      </c>
      <c r="H1067" s="6" t="s">
        <v>38</v>
      </c>
      <c r="I1067" s="8" t="s">
        <v>164</v>
      </c>
      <c r="J1067" s="9">
        <v>1</v>
      </c>
      <c r="K1067" s="9">
        <v>350</v>
      </c>
      <c r="L1067" s="9">
        <v>2023</v>
      </c>
      <c r="M1067" s="8" t="s">
        <v>6575</v>
      </c>
      <c r="N1067" s="8" t="s">
        <v>41</v>
      </c>
      <c r="O1067" s="8" t="s">
        <v>65</v>
      </c>
      <c r="P1067" s="6" t="s">
        <v>55</v>
      </c>
      <c r="Q1067" s="8" t="s">
        <v>56</v>
      </c>
      <c r="R1067" s="10" t="s">
        <v>6576</v>
      </c>
      <c r="S1067" s="11" t="s">
        <v>6577</v>
      </c>
      <c r="T1067" s="6"/>
      <c r="U1067" s="28" t="str">
        <f>HYPERLINK("https://media.infra-m.ru/1981/1981660/cover/1981660.jpg", "Обложка")</f>
        <v>Обложка</v>
      </c>
      <c r="V1067" s="28" t="str">
        <f>HYPERLINK("https://znanium.ru/catalog/product/960051", "Ознакомиться")</f>
        <v>Ознакомиться</v>
      </c>
      <c r="W1067" s="8" t="s">
        <v>2726</v>
      </c>
      <c r="X1067" s="6"/>
      <c r="Y1067" s="6"/>
      <c r="Z1067" s="6"/>
      <c r="AA1067" s="6" t="s">
        <v>290</v>
      </c>
    </row>
    <row r="1068" spans="1:27" s="4" customFormat="1" ht="51.95" customHeight="1">
      <c r="A1068" s="5">
        <v>0</v>
      </c>
      <c r="B1068" s="6" t="s">
        <v>6578</v>
      </c>
      <c r="C1068" s="7">
        <v>1460</v>
      </c>
      <c r="D1068" s="8" t="s">
        <v>6579</v>
      </c>
      <c r="E1068" s="8" t="s">
        <v>6580</v>
      </c>
      <c r="F1068" s="8" t="s">
        <v>6581</v>
      </c>
      <c r="G1068" s="6" t="s">
        <v>83</v>
      </c>
      <c r="H1068" s="6" t="s">
        <v>38</v>
      </c>
      <c r="I1068" s="8" t="s">
        <v>174</v>
      </c>
      <c r="J1068" s="9">
        <v>1</v>
      </c>
      <c r="K1068" s="9">
        <v>317</v>
      </c>
      <c r="L1068" s="9">
        <v>2024</v>
      </c>
      <c r="M1068" s="8" t="s">
        <v>6582</v>
      </c>
      <c r="N1068" s="8" t="s">
        <v>41</v>
      </c>
      <c r="O1068" s="8" t="s">
        <v>65</v>
      </c>
      <c r="P1068" s="6" t="s">
        <v>176</v>
      </c>
      <c r="Q1068" s="8" t="s">
        <v>56</v>
      </c>
      <c r="R1068" s="10" t="s">
        <v>6583</v>
      </c>
      <c r="S1068" s="11" t="s">
        <v>6584</v>
      </c>
      <c r="T1068" s="6" t="s">
        <v>190</v>
      </c>
      <c r="U1068" s="28" t="str">
        <f>HYPERLINK("https://media.infra-m.ru/2079/2079315/cover/2079315.jpg", "Обложка")</f>
        <v>Обложка</v>
      </c>
      <c r="V1068" s="28" t="str">
        <f>HYPERLINK("https://znanium.ru/catalog/product/2079315", "Ознакомиться")</f>
        <v>Ознакомиться</v>
      </c>
      <c r="W1068" s="8" t="s">
        <v>140</v>
      </c>
      <c r="X1068" s="6"/>
      <c r="Y1068" s="6"/>
      <c r="Z1068" s="6"/>
      <c r="AA1068" s="6" t="s">
        <v>650</v>
      </c>
    </row>
    <row r="1069" spans="1:27" s="4" customFormat="1" ht="51.95" customHeight="1">
      <c r="A1069" s="5">
        <v>0</v>
      </c>
      <c r="B1069" s="6" t="s">
        <v>6585</v>
      </c>
      <c r="C1069" s="13">
        <v>914.9</v>
      </c>
      <c r="D1069" s="8" t="s">
        <v>6586</v>
      </c>
      <c r="E1069" s="8" t="s">
        <v>6580</v>
      </c>
      <c r="F1069" s="8" t="s">
        <v>6587</v>
      </c>
      <c r="G1069" s="6" t="s">
        <v>83</v>
      </c>
      <c r="H1069" s="6" t="s">
        <v>38</v>
      </c>
      <c r="I1069" s="8" t="s">
        <v>164</v>
      </c>
      <c r="J1069" s="9">
        <v>1</v>
      </c>
      <c r="K1069" s="9">
        <v>202</v>
      </c>
      <c r="L1069" s="9">
        <v>2023</v>
      </c>
      <c r="M1069" s="8" t="s">
        <v>6588</v>
      </c>
      <c r="N1069" s="8" t="s">
        <v>41</v>
      </c>
      <c r="O1069" s="8" t="s">
        <v>65</v>
      </c>
      <c r="P1069" s="6" t="s">
        <v>55</v>
      </c>
      <c r="Q1069" s="8" t="s">
        <v>56</v>
      </c>
      <c r="R1069" s="10" t="s">
        <v>6589</v>
      </c>
      <c r="S1069" s="11" t="s">
        <v>6590</v>
      </c>
      <c r="T1069" s="6"/>
      <c r="U1069" s="28" t="str">
        <f>HYPERLINK("https://media.infra-m.ru/1913/1913028/cover/1913028.jpg", "Обложка")</f>
        <v>Обложка</v>
      </c>
      <c r="V1069" s="28" t="str">
        <f>HYPERLINK("https://znanium.ru/catalog/product/1913028", "Ознакомиться")</f>
        <v>Ознакомиться</v>
      </c>
      <c r="W1069" s="8" t="s">
        <v>297</v>
      </c>
      <c r="X1069" s="6"/>
      <c r="Y1069" s="6"/>
      <c r="Z1069" s="6"/>
      <c r="AA1069" s="6" t="s">
        <v>364</v>
      </c>
    </row>
    <row r="1070" spans="1:27" s="4" customFormat="1" ht="51.95" customHeight="1">
      <c r="A1070" s="5">
        <v>0</v>
      </c>
      <c r="B1070" s="6" t="s">
        <v>6591</v>
      </c>
      <c r="C1070" s="13">
        <v>994.9</v>
      </c>
      <c r="D1070" s="8" t="s">
        <v>6592</v>
      </c>
      <c r="E1070" s="8" t="s">
        <v>6593</v>
      </c>
      <c r="F1070" s="8" t="s">
        <v>6594</v>
      </c>
      <c r="G1070" s="6" t="s">
        <v>123</v>
      </c>
      <c r="H1070" s="6" t="s">
        <v>38</v>
      </c>
      <c r="I1070" s="8" t="s">
        <v>164</v>
      </c>
      <c r="J1070" s="9">
        <v>1</v>
      </c>
      <c r="K1070" s="9">
        <v>332</v>
      </c>
      <c r="L1070" s="9">
        <v>2018</v>
      </c>
      <c r="M1070" s="8" t="s">
        <v>6595</v>
      </c>
      <c r="N1070" s="8" t="s">
        <v>41</v>
      </c>
      <c r="O1070" s="8" t="s">
        <v>65</v>
      </c>
      <c r="P1070" s="6" t="s">
        <v>176</v>
      </c>
      <c r="Q1070" s="8" t="s">
        <v>56</v>
      </c>
      <c r="R1070" s="10" t="s">
        <v>6596</v>
      </c>
      <c r="S1070" s="11" t="s">
        <v>6597</v>
      </c>
      <c r="T1070" s="6"/>
      <c r="U1070" s="28" t="str">
        <f>HYPERLINK("https://media.infra-m.ru/0967/0967034/cover/967034.jpg", "Обложка")</f>
        <v>Обложка</v>
      </c>
      <c r="V1070" s="28" t="str">
        <f>HYPERLINK("https://znanium.ru/catalog/product/2119947", "Ознакомиться")</f>
        <v>Ознакомиться</v>
      </c>
      <c r="W1070" s="8" t="s">
        <v>2726</v>
      </c>
      <c r="X1070" s="6"/>
      <c r="Y1070" s="6"/>
      <c r="Z1070" s="6"/>
      <c r="AA1070" s="6" t="s">
        <v>3498</v>
      </c>
    </row>
    <row r="1071" spans="1:27" s="4" customFormat="1" ht="51.95" customHeight="1">
      <c r="A1071" s="5">
        <v>0</v>
      </c>
      <c r="B1071" s="6" t="s">
        <v>6598</v>
      </c>
      <c r="C1071" s="7">
        <v>1800</v>
      </c>
      <c r="D1071" s="8" t="s">
        <v>6599</v>
      </c>
      <c r="E1071" s="8" t="s">
        <v>6600</v>
      </c>
      <c r="F1071" s="8" t="s">
        <v>6601</v>
      </c>
      <c r="G1071" s="6" t="s">
        <v>83</v>
      </c>
      <c r="H1071" s="6" t="s">
        <v>38</v>
      </c>
      <c r="I1071" s="8" t="s">
        <v>155</v>
      </c>
      <c r="J1071" s="9">
        <v>1</v>
      </c>
      <c r="K1071" s="9">
        <v>391</v>
      </c>
      <c r="L1071" s="9">
        <v>2024</v>
      </c>
      <c r="M1071" s="8" t="s">
        <v>6602</v>
      </c>
      <c r="N1071" s="8" t="s">
        <v>41</v>
      </c>
      <c r="O1071" s="8" t="s">
        <v>65</v>
      </c>
      <c r="P1071" s="6" t="s">
        <v>176</v>
      </c>
      <c r="Q1071" s="8" t="s">
        <v>177</v>
      </c>
      <c r="R1071" s="10" t="s">
        <v>6596</v>
      </c>
      <c r="S1071" s="11" t="s">
        <v>6603</v>
      </c>
      <c r="T1071" s="6"/>
      <c r="U1071" s="28" t="str">
        <f>HYPERLINK("https://media.infra-m.ru/2119/2119947/cover/2119947.jpg", "Обложка")</f>
        <v>Обложка</v>
      </c>
      <c r="V1071" s="28" t="str">
        <f>HYPERLINK("https://znanium.ru/catalog/product/2119947", "Ознакомиться")</f>
        <v>Ознакомиться</v>
      </c>
      <c r="W1071" s="8" t="s">
        <v>2726</v>
      </c>
      <c r="X1071" s="6"/>
      <c r="Y1071" s="6"/>
      <c r="Z1071" s="6"/>
      <c r="AA1071" s="6" t="s">
        <v>768</v>
      </c>
    </row>
    <row r="1072" spans="1:27" s="4" customFormat="1" ht="51.95" customHeight="1">
      <c r="A1072" s="5">
        <v>0</v>
      </c>
      <c r="B1072" s="6" t="s">
        <v>6604</v>
      </c>
      <c r="C1072" s="7">
        <v>2394</v>
      </c>
      <c r="D1072" s="8" t="s">
        <v>6605</v>
      </c>
      <c r="E1072" s="8" t="s">
        <v>6606</v>
      </c>
      <c r="F1072" s="8" t="s">
        <v>6607</v>
      </c>
      <c r="G1072" s="6" t="s">
        <v>123</v>
      </c>
      <c r="H1072" s="6" t="s">
        <v>4755</v>
      </c>
      <c r="I1072" s="8"/>
      <c r="J1072" s="9">
        <v>1</v>
      </c>
      <c r="K1072" s="9">
        <v>912</v>
      </c>
      <c r="L1072" s="9">
        <v>2024</v>
      </c>
      <c r="M1072" s="8" t="s">
        <v>6608</v>
      </c>
      <c r="N1072" s="8" t="s">
        <v>41</v>
      </c>
      <c r="O1072" s="8" t="s">
        <v>65</v>
      </c>
      <c r="P1072" s="6" t="s">
        <v>176</v>
      </c>
      <c r="Q1072" s="8" t="s">
        <v>56</v>
      </c>
      <c r="R1072" s="10" t="s">
        <v>3987</v>
      </c>
      <c r="S1072" s="11"/>
      <c r="T1072" s="6"/>
      <c r="U1072" s="28" t="str">
        <f>HYPERLINK("https://media.infra-m.ru/2133/2133780/cover/2133780.jpg", "Обложка")</f>
        <v>Обложка</v>
      </c>
      <c r="V1072" s="28" t="str">
        <f>HYPERLINK("https://znanium.ru/catalog/product/2133780", "Ознакомиться")</f>
        <v>Ознакомиться</v>
      </c>
      <c r="W1072" s="8" t="s">
        <v>1028</v>
      </c>
      <c r="X1072" s="6"/>
      <c r="Y1072" s="6"/>
      <c r="Z1072" s="6"/>
      <c r="AA1072" s="6" t="s">
        <v>1138</v>
      </c>
    </row>
    <row r="1073" spans="1:27" s="4" customFormat="1" ht="51.95" customHeight="1">
      <c r="A1073" s="5">
        <v>0</v>
      </c>
      <c r="B1073" s="6" t="s">
        <v>6609</v>
      </c>
      <c r="C1073" s="7">
        <v>1134.9000000000001</v>
      </c>
      <c r="D1073" s="8" t="s">
        <v>6610</v>
      </c>
      <c r="E1073" s="8" t="s">
        <v>6611</v>
      </c>
      <c r="F1073" s="8" t="s">
        <v>6612</v>
      </c>
      <c r="G1073" s="6" t="s">
        <v>123</v>
      </c>
      <c r="H1073" s="6" t="s">
        <v>317</v>
      </c>
      <c r="I1073" s="8" t="s">
        <v>164</v>
      </c>
      <c r="J1073" s="9">
        <v>1</v>
      </c>
      <c r="K1073" s="9">
        <v>252</v>
      </c>
      <c r="L1073" s="9">
        <v>2023</v>
      </c>
      <c r="M1073" s="8" t="s">
        <v>6613</v>
      </c>
      <c r="N1073" s="8" t="s">
        <v>41</v>
      </c>
      <c r="O1073" s="8" t="s">
        <v>65</v>
      </c>
      <c r="P1073" s="6" t="s">
        <v>55</v>
      </c>
      <c r="Q1073" s="8" t="s">
        <v>56</v>
      </c>
      <c r="R1073" s="10" t="s">
        <v>6614</v>
      </c>
      <c r="S1073" s="11" t="s">
        <v>6615</v>
      </c>
      <c r="T1073" s="6"/>
      <c r="U1073" s="28" t="str">
        <f>HYPERLINK("https://media.infra-m.ru/1913/1913024/cover/1913024.jpg", "Обложка")</f>
        <v>Обложка</v>
      </c>
      <c r="V1073" s="28" t="str">
        <f>HYPERLINK("https://znanium.ru/catalog/product/1913024", "Ознакомиться")</f>
        <v>Ознакомиться</v>
      </c>
      <c r="W1073" s="8"/>
      <c r="X1073" s="6"/>
      <c r="Y1073" s="6"/>
      <c r="Z1073" s="6"/>
      <c r="AA1073" s="6" t="s">
        <v>364</v>
      </c>
    </row>
    <row r="1074" spans="1:27" s="4" customFormat="1" ht="51.95" customHeight="1">
      <c r="A1074" s="5">
        <v>0</v>
      </c>
      <c r="B1074" s="6" t="s">
        <v>6616</v>
      </c>
      <c r="C1074" s="7">
        <v>1574</v>
      </c>
      <c r="D1074" s="8" t="s">
        <v>6617</v>
      </c>
      <c r="E1074" s="8" t="s">
        <v>6618</v>
      </c>
      <c r="F1074" s="8" t="s">
        <v>6619</v>
      </c>
      <c r="G1074" s="6" t="s">
        <v>83</v>
      </c>
      <c r="H1074" s="6" t="s">
        <v>470</v>
      </c>
      <c r="I1074" s="8" t="s">
        <v>470</v>
      </c>
      <c r="J1074" s="9">
        <v>1</v>
      </c>
      <c r="K1074" s="9">
        <v>348</v>
      </c>
      <c r="L1074" s="9">
        <v>2023</v>
      </c>
      <c r="M1074" s="8" t="s">
        <v>6620</v>
      </c>
      <c r="N1074" s="8" t="s">
        <v>41</v>
      </c>
      <c r="O1074" s="8" t="s">
        <v>65</v>
      </c>
      <c r="P1074" s="6" t="s">
        <v>176</v>
      </c>
      <c r="Q1074" s="8" t="s">
        <v>56</v>
      </c>
      <c r="R1074" s="10" t="s">
        <v>3987</v>
      </c>
      <c r="S1074" s="11"/>
      <c r="T1074" s="6"/>
      <c r="U1074" s="28" t="str">
        <f>HYPERLINK("https://media.infra-m.ru/2006/2006085/cover/2006085.jpg", "Обложка")</f>
        <v>Обложка</v>
      </c>
      <c r="V1074" s="28" t="str">
        <f>HYPERLINK("https://znanium.ru/catalog/product/1063742", "Ознакомиться")</f>
        <v>Ознакомиться</v>
      </c>
      <c r="W1074" s="8" t="s">
        <v>557</v>
      </c>
      <c r="X1074" s="6"/>
      <c r="Y1074" s="6"/>
      <c r="Z1074" s="6"/>
      <c r="AA1074" s="6" t="s">
        <v>650</v>
      </c>
    </row>
    <row r="1075" spans="1:27" s="4" customFormat="1" ht="51.95" customHeight="1">
      <c r="A1075" s="5">
        <v>0</v>
      </c>
      <c r="B1075" s="6" t="s">
        <v>6621</v>
      </c>
      <c r="C1075" s="7">
        <v>2800</v>
      </c>
      <c r="D1075" s="8" t="s">
        <v>6622</v>
      </c>
      <c r="E1075" s="8" t="s">
        <v>6623</v>
      </c>
      <c r="F1075" s="8" t="s">
        <v>6624</v>
      </c>
      <c r="G1075" s="6" t="s">
        <v>83</v>
      </c>
      <c r="H1075" s="6" t="s">
        <v>38</v>
      </c>
      <c r="I1075" s="8" t="s">
        <v>164</v>
      </c>
      <c r="J1075" s="9">
        <v>1</v>
      </c>
      <c r="K1075" s="9">
        <v>624</v>
      </c>
      <c r="L1075" s="9">
        <v>2023</v>
      </c>
      <c r="M1075" s="8" t="s">
        <v>6625</v>
      </c>
      <c r="N1075" s="8" t="s">
        <v>41</v>
      </c>
      <c r="O1075" s="8" t="s">
        <v>65</v>
      </c>
      <c r="P1075" s="6" t="s">
        <v>176</v>
      </c>
      <c r="Q1075" s="8" t="s">
        <v>56</v>
      </c>
      <c r="R1075" s="10" t="s">
        <v>3987</v>
      </c>
      <c r="S1075" s="11" t="s">
        <v>6626</v>
      </c>
      <c r="T1075" s="6"/>
      <c r="U1075" s="28" t="str">
        <f>HYPERLINK("https://media.infra-m.ru/1930/1930704/cover/1930704.jpg", "Обложка")</f>
        <v>Обложка</v>
      </c>
      <c r="V1075" s="28" t="str">
        <f>HYPERLINK("https://znanium.ru/catalog/product/1930704", "Ознакомиться")</f>
        <v>Ознакомиться</v>
      </c>
      <c r="W1075" s="8" t="s">
        <v>3497</v>
      </c>
      <c r="X1075" s="6"/>
      <c r="Y1075" s="6"/>
      <c r="Z1075" s="6"/>
      <c r="AA1075" s="6" t="s">
        <v>3498</v>
      </c>
    </row>
    <row r="1076" spans="1:27" s="4" customFormat="1" ht="51.95" customHeight="1">
      <c r="A1076" s="5">
        <v>0</v>
      </c>
      <c r="B1076" s="6" t="s">
        <v>6627</v>
      </c>
      <c r="C1076" s="7">
        <v>2300</v>
      </c>
      <c r="D1076" s="8" t="s">
        <v>6628</v>
      </c>
      <c r="E1076" s="8" t="s">
        <v>6629</v>
      </c>
      <c r="F1076" s="8" t="s">
        <v>6630</v>
      </c>
      <c r="G1076" s="6" t="s">
        <v>123</v>
      </c>
      <c r="H1076" s="6" t="s">
        <v>528</v>
      </c>
      <c r="I1076" s="8" t="s">
        <v>3805</v>
      </c>
      <c r="J1076" s="9">
        <v>1</v>
      </c>
      <c r="K1076" s="9">
        <v>512</v>
      </c>
      <c r="L1076" s="9">
        <v>2024</v>
      </c>
      <c r="M1076" s="8" t="s">
        <v>6631</v>
      </c>
      <c r="N1076" s="8" t="s">
        <v>41</v>
      </c>
      <c r="O1076" s="8" t="s">
        <v>65</v>
      </c>
      <c r="P1076" s="6" t="s">
        <v>176</v>
      </c>
      <c r="Q1076" s="8" t="s">
        <v>56</v>
      </c>
      <c r="R1076" s="10" t="s">
        <v>3987</v>
      </c>
      <c r="S1076" s="11" t="s">
        <v>6632</v>
      </c>
      <c r="T1076" s="6"/>
      <c r="U1076" s="28" t="str">
        <f>HYPERLINK("https://media.infra-m.ru/1838/1838396/cover/1838396.jpg", "Обложка")</f>
        <v>Обложка</v>
      </c>
      <c r="V1076" s="28" t="str">
        <f>HYPERLINK("https://znanium.ru/catalog/product/1838396", "Ознакомиться")</f>
        <v>Ознакомиться</v>
      </c>
      <c r="W1076" s="8" t="s">
        <v>1841</v>
      </c>
      <c r="X1076" s="6"/>
      <c r="Y1076" s="6"/>
      <c r="Z1076" s="6"/>
      <c r="AA1076" s="6" t="s">
        <v>6633</v>
      </c>
    </row>
    <row r="1077" spans="1:27" s="4" customFormat="1" ht="51.95" customHeight="1">
      <c r="A1077" s="5">
        <v>0</v>
      </c>
      <c r="B1077" s="6" t="s">
        <v>6634</v>
      </c>
      <c r="C1077" s="7">
        <v>1804.9</v>
      </c>
      <c r="D1077" s="8" t="s">
        <v>6635</v>
      </c>
      <c r="E1077" s="8" t="s">
        <v>6623</v>
      </c>
      <c r="F1077" s="8" t="s">
        <v>6636</v>
      </c>
      <c r="G1077" s="6" t="s">
        <v>123</v>
      </c>
      <c r="H1077" s="6" t="s">
        <v>52</v>
      </c>
      <c r="I1077" s="8" t="s">
        <v>155</v>
      </c>
      <c r="J1077" s="9">
        <v>1</v>
      </c>
      <c r="K1077" s="9">
        <v>400</v>
      </c>
      <c r="L1077" s="9">
        <v>2023</v>
      </c>
      <c r="M1077" s="8" t="s">
        <v>6637</v>
      </c>
      <c r="N1077" s="8" t="s">
        <v>41</v>
      </c>
      <c r="O1077" s="8" t="s">
        <v>65</v>
      </c>
      <c r="P1077" s="6" t="s">
        <v>55</v>
      </c>
      <c r="Q1077" s="8" t="s">
        <v>56</v>
      </c>
      <c r="R1077" s="10" t="s">
        <v>2053</v>
      </c>
      <c r="S1077" s="11" t="s">
        <v>6638</v>
      </c>
      <c r="T1077" s="6"/>
      <c r="U1077" s="28" t="str">
        <f>HYPERLINK("https://media.infra-m.ru/2020/2020559/cover/2020559.jpg", "Обложка")</f>
        <v>Обложка</v>
      </c>
      <c r="V1077" s="12"/>
      <c r="W1077" s="8" t="s">
        <v>371</v>
      </c>
      <c r="X1077" s="6"/>
      <c r="Y1077" s="6"/>
      <c r="Z1077" s="6"/>
      <c r="AA1077" s="6" t="s">
        <v>826</v>
      </c>
    </row>
    <row r="1078" spans="1:27" s="4" customFormat="1" ht="51.95" customHeight="1">
      <c r="A1078" s="5">
        <v>0</v>
      </c>
      <c r="B1078" s="6" t="s">
        <v>6639</v>
      </c>
      <c r="C1078" s="7">
        <v>1090</v>
      </c>
      <c r="D1078" s="8" t="s">
        <v>6640</v>
      </c>
      <c r="E1078" s="8" t="s">
        <v>6623</v>
      </c>
      <c r="F1078" s="8" t="s">
        <v>6641</v>
      </c>
      <c r="G1078" s="6" t="s">
        <v>83</v>
      </c>
      <c r="H1078" s="6" t="s">
        <v>38</v>
      </c>
      <c r="I1078" s="8" t="s">
        <v>155</v>
      </c>
      <c r="J1078" s="9">
        <v>1</v>
      </c>
      <c r="K1078" s="9">
        <v>236</v>
      </c>
      <c r="L1078" s="9">
        <v>2024</v>
      </c>
      <c r="M1078" s="8" t="s">
        <v>6642</v>
      </c>
      <c r="N1078" s="8" t="s">
        <v>41</v>
      </c>
      <c r="O1078" s="8" t="s">
        <v>65</v>
      </c>
      <c r="P1078" s="6" t="s">
        <v>55</v>
      </c>
      <c r="Q1078" s="8" t="s">
        <v>56</v>
      </c>
      <c r="R1078" s="10" t="s">
        <v>3987</v>
      </c>
      <c r="S1078" s="11" t="s">
        <v>6643</v>
      </c>
      <c r="T1078" s="6"/>
      <c r="U1078" s="28" t="str">
        <f>HYPERLINK("https://media.infra-m.ru/2083/2083301/cover/2083301.jpg", "Обложка")</f>
        <v>Обложка</v>
      </c>
      <c r="V1078" s="28" t="str">
        <f>HYPERLINK("https://znanium.ru/catalog/product/2083301", "Ознакомиться")</f>
        <v>Ознакомиться</v>
      </c>
      <c r="W1078" s="8" t="s">
        <v>6644</v>
      </c>
      <c r="X1078" s="6"/>
      <c r="Y1078" s="6"/>
      <c r="Z1078" s="6"/>
      <c r="AA1078" s="6" t="s">
        <v>47</v>
      </c>
    </row>
    <row r="1079" spans="1:27" s="4" customFormat="1" ht="51.95" customHeight="1">
      <c r="A1079" s="5">
        <v>0</v>
      </c>
      <c r="B1079" s="6" t="s">
        <v>6645</v>
      </c>
      <c r="C1079" s="13">
        <v>720</v>
      </c>
      <c r="D1079" s="8" t="s">
        <v>6646</v>
      </c>
      <c r="E1079" s="8" t="s">
        <v>6647</v>
      </c>
      <c r="F1079" s="8" t="s">
        <v>6648</v>
      </c>
      <c r="G1079" s="6" t="s">
        <v>123</v>
      </c>
      <c r="H1079" s="6" t="s">
        <v>317</v>
      </c>
      <c r="I1079" s="8" t="s">
        <v>164</v>
      </c>
      <c r="J1079" s="9">
        <v>1</v>
      </c>
      <c r="K1079" s="9">
        <v>224</v>
      </c>
      <c r="L1079" s="9">
        <v>2018</v>
      </c>
      <c r="M1079" s="8" t="s">
        <v>6649</v>
      </c>
      <c r="N1079" s="8" t="s">
        <v>41</v>
      </c>
      <c r="O1079" s="8" t="s">
        <v>65</v>
      </c>
      <c r="P1079" s="6" t="s">
        <v>55</v>
      </c>
      <c r="Q1079" s="8" t="s">
        <v>56</v>
      </c>
      <c r="R1079" s="10" t="s">
        <v>6650</v>
      </c>
      <c r="S1079" s="11" t="s">
        <v>6651</v>
      </c>
      <c r="T1079" s="6"/>
      <c r="U1079" s="28" t="str">
        <f>HYPERLINK("https://media.infra-m.ru/1012/1012407/cover/1012407.jpg", "Обложка")</f>
        <v>Обложка</v>
      </c>
      <c r="V1079" s="28" t="str">
        <f>HYPERLINK("https://znanium.ru/catalog/product/1012407", "Ознакомиться")</f>
        <v>Ознакомиться</v>
      </c>
      <c r="W1079" s="8" t="s">
        <v>2144</v>
      </c>
      <c r="X1079" s="6"/>
      <c r="Y1079" s="6"/>
      <c r="Z1079" s="6"/>
      <c r="AA1079" s="6" t="s">
        <v>169</v>
      </c>
    </row>
    <row r="1080" spans="1:27" s="4" customFormat="1" ht="51.95" customHeight="1">
      <c r="A1080" s="5">
        <v>0</v>
      </c>
      <c r="B1080" s="6" t="s">
        <v>6652</v>
      </c>
      <c r="C1080" s="7">
        <v>1194</v>
      </c>
      <c r="D1080" s="8" t="s">
        <v>6653</v>
      </c>
      <c r="E1080" s="8" t="s">
        <v>6654</v>
      </c>
      <c r="F1080" s="8" t="s">
        <v>6648</v>
      </c>
      <c r="G1080" s="6" t="s">
        <v>83</v>
      </c>
      <c r="H1080" s="6" t="s">
        <v>317</v>
      </c>
      <c r="I1080" s="8" t="s">
        <v>155</v>
      </c>
      <c r="J1080" s="9">
        <v>1</v>
      </c>
      <c r="K1080" s="9">
        <v>260</v>
      </c>
      <c r="L1080" s="9">
        <v>2024</v>
      </c>
      <c r="M1080" s="8" t="s">
        <v>6655</v>
      </c>
      <c r="N1080" s="8" t="s">
        <v>41</v>
      </c>
      <c r="O1080" s="8" t="s">
        <v>65</v>
      </c>
      <c r="P1080" s="6" t="s">
        <v>55</v>
      </c>
      <c r="Q1080" s="8" t="s">
        <v>56</v>
      </c>
      <c r="R1080" s="10" t="s">
        <v>6650</v>
      </c>
      <c r="S1080" s="11" t="s">
        <v>6651</v>
      </c>
      <c r="T1080" s="6"/>
      <c r="U1080" s="28" t="str">
        <f>HYPERLINK("https://media.infra-m.ru/2103/2103142/cover/2103142.jpg", "Обложка")</f>
        <v>Обложка</v>
      </c>
      <c r="V1080" s="28" t="str">
        <f>HYPERLINK("https://znanium.ru/catalog/product/1012407", "Ознакомиться")</f>
        <v>Ознакомиться</v>
      </c>
      <c r="W1080" s="8" t="s">
        <v>2144</v>
      </c>
      <c r="X1080" s="6"/>
      <c r="Y1080" s="6"/>
      <c r="Z1080" s="6"/>
      <c r="AA1080" s="6" t="s">
        <v>5451</v>
      </c>
    </row>
    <row r="1081" spans="1:27" s="4" customFormat="1" ht="51.95" customHeight="1">
      <c r="A1081" s="5">
        <v>0</v>
      </c>
      <c r="B1081" s="6" t="s">
        <v>6656</v>
      </c>
      <c r="C1081" s="13">
        <v>954.9</v>
      </c>
      <c r="D1081" s="8" t="s">
        <v>6657</v>
      </c>
      <c r="E1081" s="8" t="s">
        <v>6647</v>
      </c>
      <c r="F1081" s="8" t="s">
        <v>6658</v>
      </c>
      <c r="G1081" s="6" t="s">
        <v>83</v>
      </c>
      <c r="H1081" s="6" t="s">
        <v>38</v>
      </c>
      <c r="I1081" s="8" t="s">
        <v>185</v>
      </c>
      <c r="J1081" s="9">
        <v>1</v>
      </c>
      <c r="K1081" s="9">
        <v>211</v>
      </c>
      <c r="L1081" s="9">
        <v>2023</v>
      </c>
      <c r="M1081" s="8" t="s">
        <v>6659</v>
      </c>
      <c r="N1081" s="8" t="s">
        <v>41</v>
      </c>
      <c r="O1081" s="8" t="s">
        <v>65</v>
      </c>
      <c r="P1081" s="6" t="s">
        <v>55</v>
      </c>
      <c r="Q1081" s="8" t="s">
        <v>187</v>
      </c>
      <c r="R1081" s="10" t="s">
        <v>6660</v>
      </c>
      <c r="S1081" s="11" t="s">
        <v>6661</v>
      </c>
      <c r="T1081" s="6"/>
      <c r="U1081" s="28" t="str">
        <f>HYPERLINK("https://media.infra-m.ru/1910/1910760/cover/1910760.jpg", "Обложка")</f>
        <v>Обложка</v>
      </c>
      <c r="V1081" s="28" t="str">
        <f>HYPERLINK("https://znanium.ru/catalog/product/1910760", "Ознакомиться")</f>
        <v>Ознакомиться</v>
      </c>
      <c r="W1081" s="8" t="s">
        <v>3693</v>
      </c>
      <c r="X1081" s="6"/>
      <c r="Y1081" s="6"/>
      <c r="Z1081" s="6" t="s">
        <v>192</v>
      </c>
      <c r="AA1081" s="6" t="s">
        <v>1006</v>
      </c>
    </row>
    <row r="1082" spans="1:27" s="4" customFormat="1" ht="51.95" customHeight="1">
      <c r="A1082" s="5">
        <v>0</v>
      </c>
      <c r="B1082" s="6" t="s">
        <v>6662</v>
      </c>
      <c r="C1082" s="13">
        <v>944.9</v>
      </c>
      <c r="D1082" s="8" t="s">
        <v>6663</v>
      </c>
      <c r="E1082" s="8" t="s">
        <v>6647</v>
      </c>
      <c r="F1082" s="8" t="s">
        <v>6658</v>
      </c>
      <c r="G1082" s="6" t="s">
        <v>123</v>
      </c>
      <c r="H1082" s="6" t="s">
        <v>38</v>
      </c>
      <c r="I1082" s="8" t="s">
        <v>164</v>
      </c>
      <c r="J1082" s="9">
        <v>1</v>
      </c>
      <c r="K1082" s="9">
        <v>211</v>
      </c>
      <c r="L1082" s="9">
        <v>2023</v>
      </c>
      <c r="M1082" s="8" t="s">
        <v>6664</v>
      </c>
      <c r="N1082" s="8" t="s">
        <v>41</v>
      </c>
      <c r="O1082" s="8" t="s">
        <v>65</v>
      </c>
      <c r="P1082" s="6" t="s">
        <v>55</v>
      </c>
      <c r="Q1082" s="8" t="s">
        <v>56</v>
      </c>
      <c r="R1082" s="10" t="s">
        <v>6665</v>
      </c>
      <c r="S1082" s="11" t="s">
        <v>6666</v>
      </c>
      <c r="T1082" s="6"/>
      <c r="U1082" s="28" t="str">
        <f>HYPERLINK("https://media.infra-m.ru/2002/2002605/cover/2002605.jpg", "Обложка")</f>
        <v>Обложка</v>
      </c>
      <c r="V1082" s="28" t="str">
        <f>HYPERLINK("https://znanium.ru/catalog/product/2002605", "Ознакомиться")</f>
        <v>Ознакомиться</v>
      </c>
      <c r="W1082" s="8" t="s">
        <v>3693</v>
      </c>
      <c r="X1082" s="6"/>
      <c r="Y1082" s="6"/>
      <c r="Z1082" s="6"/>
      <c r="AA1082" s="6" t="s">
        <v>150</v>
      </c>
    </row>
    <row r="1083" spans="1:27" s="4" customFormat="1" ht="51.95" customHeight="1">
      <c r="A1083" s="5">
        <v>0</v>
      </c>
      <c r="B1083" s="6" t="s">
        <v>6667</v>
      </c>
      <c r="C1083" s="13">
        <v>614.9</v>
      </c>
      <c r="D1083" s="8" t="s">
        <v>6668</v>
      </c>
      <c r="E1083" s="8" t="s">
        <v>6623</v>
      </c>
      <c r="F1083" s="8" t="s">
        <v>6669</v>
      </c>
      <c r="G1083" s="6" t="s">
        <v>37</v>
      </c>
      <c r="H1083" s="6" t="s">
        <v>38</v>
      </c>
      <c r="I1083" s="8" t="s">
        <v>164</v>
      </c>
      <c r="J1083" s="9">
        <v>1</v>
      </c>
      <c r="K1083" s="9">
        <v>181</v>
      </c>
      <c r="L1083" s="9">
        <v>2020</v>
      </c>
      <c r="M1083" s="8" t="s">
        <v>6670</v>
      </c>
      <c r="N1083" s="8" t="s">
        <v>41</v>
      </c>
      <c r="O1083" s="8" t="s">
        <v>65</v>
      </c>
      <c r="P1083" s="6" t="s">
        <v>55</v>
      </c>
      <c r="Q1083" s="8" t="s">
        <v>56</v>
      </c>
      <c r="R1083" s="10" t="s">
        <v>6665</v>
      </c>
      <c r="S1083" s="11" t="s">
        <v>6671</v>
      </c>
      <c r="T1083" s="6"/>
      <c r="U1083" s="28" t="str">
        <f>HYPERLINK("https://media.infra-m.ru/1082/1082434/cover/1082434.jpg", "Обложка")</f>
        <v>Обложка</v>
      </c>
      <c r="V1083" s="28" t="str">
        <f>HYPERLINK("https://znanium.ru/catalog/product/2002605", "Ознакомиться")</f>
        <v>Ознакомиться</v>
      </c>
      <c r="W1083" s="8" t="s">
        <v>3693</v>
      </c>
      <c r="X1083" s="6"/>
      <c r="Y1083" s="6"/>
      <c r="Z1083" s="6"/>
      <c r="AA1083" s="6" t="s">
        <v>650</v>
      </c>
    </row>
    <row r="1084" spans="1:27" s="4" customFormat="1" ht="51.95" customHeight="1">
      <c r="A1084" s="5">
        <v>0</v>
      </c>
      <c r="B1084" s="6" t="s">
        <v>6672</v>
      </c>
      <c r="C1084" s="7">
        <v>1444.9</v>
      </c>
      <c r="D1084" s="8" t="s">
        <v>6673</v>
      </c>
      <c r="E1084" s="8" t="s">
        <v>6647</v>
      </c>
      <c r="F1084" s="8" t="s">
        <v>2708</v>
      </c>
      <c r="G1084" s="6" t="s">
        <v>123</v>
      </c>
      <c r="H1084" s="6" t="s">
        <v>1701</v>
      </c>
      <c r="I1084" s="8" t="s">
        <v>155</v>
      </c>
      <c r="J1084" s="9">
        <v>1</v>
      </c>
      <c r="K1084" s="9">
        <v>320</v>
      </c>
      <c r="L1084" s="9">
        <v>2023</v>
      </c>
      <c r="M1084" s="8" t="s">
        <v>6674</v>
      </c>
      <c r="N1084" s="8" t="s">
        <v>41</v>
      </c>
      <c r="O1084" s="8" t="s">
        <v>65</v>
      </c>
      <c r="P1084" s="6" t="s">
        <v>55</v>
      </c>
      <c r="Q1084" s="8" t="s">
        <v>56</v>
      </c>
      <c r="R1084" s="10" t="s">
        <v>3987</v>
      </c>
      <c r="S1084" s="11" t="s">
        <v>6675</v>
      </c>
      <c r="T1084" s="6"/>
      <c r="U1084" s="28" t="str">
        <f>HYPERLINK("https://media.infra-m.ru/1874/1874283/cover/1874283.jpg", "Обложка")</f>
        <v>Обложка</v>
      </c>
      <c r="V1084" s="28" t="str">
        <f>HYPERLINK("https://znanium.ru/catalog/product/1874283", "Ознакомиться")</f>
        <v>Ознакомиться</v>
      </c>
      <c r="W1084" s="8" t="s">
        <v>2712</v>
      </c>
      <c r="X1084" s="6"/>
      <c r="Y1084" s="6"/>
      <c r="Z1084" s="6"/>
      <c r="AA1084" s="6" t="s">
        <v>861</v>
      </c>
    </row>
    <row r="1085" spans="1:27" s="4" customFormat="1" ht="51.95" customHeight="1">
      <c r="A1085" s="5">
        <v>0</v>
      </c>
      <c r="B1085" s="6" t="s">
        <v>6676</v>
      </c>
      <c r="C1085" s="13">
        <v>904.9</v>
      </c>
      <c r="D1085" s="8" t="s">
        <v>6677</v>
      </c>
      <c r="E1085" s="8" t="s">
        <v>6623</v>
      </c>
      <c r="F1085" s="8" t="s">
        <v>4195</v>
      </c>
      <c r="G1085" s="6" t="s">
        <v>123</v>
      </c>
      <c r="H1085" s="6" t="s">
        <v>38</v>
      </c>
      <c r="I1085" s="8" t="s">
        <v>164</v>
      </c>
      <c r="J1085" s="9">
        <v>1</v>
      </c>
      <c r="K1085" s="9">
        <v>202</v>
      </c>
      <c r="L1085" s="9">
        <v>2023</v>
      </c>
      <c r="M1085" s="8" t="s">
        <v>6678</v>
      </c>
      <c r="N1085" s="8" t="s">
        <v>41</v>
      </c>
      <c r="O1085" s="8" t="s">
        <v>65</v>
      </c>
      <c r="P1085" s="6" t="s">
        <v>55</v>
      </c>
      <c r="Q1085" s="8" t="s">
        <v>56</v>
      </c>
      <c r="R1085" s="10" t="s">
        <v>6679</v>
      </c>
      <c r="S1085" s="11" t="s">
        <v>6680</v>
      </c>
      <c r="T1085" s="6"/>
      <c r="U1085" s="28" t="str">
        <f>HYPERLINK("https://media.infra-m.ru/1981/1981709/cover/1981709.jpg", "Обложка")</f>
        <v>Обложка</v>
      </c>
      <c r="V1085" s="28" t="str">
        <f>HYPERLINK("https://znanium.ru/catalog/product/1981709", "Ознакомиться")</f>
        <v>Ознакомиться</v>
      </c>
      <c r="W1085" s="8" t="s">
        <v>297</v>
      </c>
      <c r="X1085" s="6"/>
      <c r="Y1085" s="6"/>
      <c r="Z1085" s="6"/>
      <c r="AA1085" s="6" t="s">
        <v>59</v>
      </c>
    </row>
    <row r="1086" spans="1:27" s="4" customFormat="1" ht="51.95" customHeight="1">
      <c r="A1086" s="5">
        <v>0</v>
      </c>
      <c r="B1086" s="6" t="s">
        <v>6681</v>
      </c>
      <c r="C1086" s="7">
        <v>2814</v>
      </c>
      <c r="D1086" s="8" t="s">
        <v>6682</v>
      </c>
      <c r="E1086" s="8" t="s">
        <v>6683</v>
      </c>
      <c r="F1086" s="8" t="s">
        <v>1109</v>
      </c>
      <c r="G1086" s="6" t="s">
        <v>83</v>
      </c>
      <c r="H1086" s="6" t="s">
        <v>38</v>
      </c>
      <c r="I1086" s="8" t="s">
        <v>795</v>
      </c>
      <c r="J1086" s="9">
        <v>1</v>
      </c>
      <c r="K1086" s="9">
        <v>630</v>
      </c>
      <c r="L1086" s="9">
        <v>2024</v>
      </c>
      <c r="M1086" s="8" t="s">
        <v>6684</v>
      </c>
      <c r="N1086" s="8" t="s">
        <v>74</v>
      </c>
      <c r="O1086" s="8" t="s">
        <v>93</v>
      </c>
      <c r="P1086" s="6" t="s">
        <v>378</v>
      </c>
      <c r="Q1086" s="8" t="s">
        <v>44</v>
      </c>
      <c r="R1086" s="10" t="s">
        <v>6685</v>
      </c>
      <c r="S1086" s="11"/>
      <c r="T1086" s="6"/>
      <c r="U1086" s="28" t="str">
        <f>HYPERLINK("https://media.infra-m.ru/2107/2107421/cover/2107421.jpg", "Обложка")</f>
        <v>Обложка</v>
      </c>
      <c r="V1086" s="28" t="str">
        <f>HYPERLINK("https://znanium.ru/catalog/product/1893914", "Ознакомиться")</f>
        <v>Ознакомиться</v>
      </c>
      <c r="W1086" s="8" t="s">
        <v>1111</v>
      </c>
      <c r="X1086" s="6"/>
      <c r="Y1086" s="6"/>
      <c r="Z1086" s="6"/>
      <c r="AA1086" s="6" t="s">
        <v>650</v>
      </c>
    </row>
    <row r="1087" spans="1:27" s="4" customFormat="1" ht="33" customHeight="1">
      <c r="A1087" s="5">
        <v>0</v>
      </c>
      <c r="B1087" s="6" t="s">
        <v>6686</v>
      </c>
      <c r="C1087" s="13">
        <v>64.900000000000006</v>
      </c>
      <c r="D1087" s="8" t="s">
        <v>6687</v>
      </c>
      <c r="E1087" s="8" t="s">
        <v>6688</v>
      </c>
      <c r="F1087" s="8"/>
      <c r="G1087" s="6" t="s">
        <v>37</v>
      </c>
      <c r="H1087" s="6" t="s">
        <v>317</v>
      </c>
      <c r="I1087" s="8" t="s">
        <v>3201</v>
      </c>
      <c r="J1087" s="9">
        <v>1</v>
      </c>
      <c r="K1087" s="9">
        <v>96</v>
      </c>
      <c r="L1087" s="9">
        <v>2017</v>
      </c>
      <c r="M1087" s="8" t="s">
        <v>6689</v>
      </c>
      <c r="N1087" s="8" t="s">
        <v>74</v>
      </c>
      <c r="O1087" s="8" t="s">
        <v>109</v>
      </c>
      <c r="P1087" s="6" t="s">
        <v>3203</v>
      </c>
      <c r="Q1087" s="8" t="s">
        <v>56</v>
      </c>
      <c r="R1087" s="10" t="s">
        <v>6690</v>
      </c>
      <c r="S1087" s="11"/>
      <c r="T1087" s="6"/>
      <c r="U1087" s="12"/>
      <c r="V1087" s="28" t="str">
        <f>HYPERLINK("https://znanium.ru/catalog/product/199232", "Ознакомиться")</f>
        <v>Ознакомиться</v>
      </c>
      <c r="W1087" s="8"/>
      <c r="X1087" s="6"/>
      <c r="Y1087" s="6"/>
      <c r="Z1087" s="6"/>
      <c r="AA1087" s="6" t="s">
        <v>826</v>
      </c>
    </row>
    <row r="1088" spans="1:27" s="4" customFormat="1" ht="51.95" customHeight="1">
      <c r="A1088" s="5">
        <v>0</v>
      </c>
      <c r="B1088" s="6" t="s">
        <v>6691</v>
      </c>
      <c r="C1088" s="7">
        <v>1620</v>
      </c>
      <c r="D1088" s="8" t="s">
        <v>6692</v>
      </c>
      <c r="E1088" s="8" t="s">
        <v>6693</v>
      </c>
      <c r="F1088" s="8" t="s">
        <v>4282</v>
      </c>
      <c r="G1088" s="6" t="s">
        <v>83</v>
      </c>
      <c r="H1088" s="6" t="s">
        <v>38</v>
      </c>
      <c r="I1088" s="8" t="s">
        <v>884</v>
      </c>
      <c r="J1088" s="9">
        <v>1</v>
      </c>
      <c r="K1088" s="9">
        <v>352</v>
      </c>
      <c r="L1088" s="9">
        <v>2024</v>
      </c>
      <c r="M1088" s="8" t="s">
        <v>6694</v>
      </c>
      <c r="N1088" s="8" t="s">
        <v>74</v>
      </c>
      <c r="O1088" s="8" t="s">
        <v>109</v>
      </c>
      <c r="P1088" s="6" t="s">
        <v>55</v>
      </c>
      <c r="Q1088" s="8" t="s">
        <v>594</v>
      </c>
      <c r="R1088" s="10" t="s">
        <v>6695</v>
      </c>
      <c r="S1088" s="11" t="s">
        <v>4284</v>
      </c>
      <c r="T1088" s="6" t="s">
        <v>190</v>
      </c>
      <c r="U1088" s="28" t="str">
        <f>HYPERLINK("https://media.infra-m.ru/2102/2102185/cover/2102185.jpg", "Обложка")</f>
        <v>Обложка</v>
      </c>
      <c r="V1088" s="28" t="str">
        <f>HYPERLINK("https://znanium.ru/catalog/product/2102185", "Ознакомиться")</f>
        <v>Ознакомиться</v>
      </c>
      <c r="W1088" s="8" t="s">
        <v>441</v>
      </c>
      <c r="X1088" s="6"/>
      <c r="Y1088" s="6"/>
      <c r="Z1088" s="6"/>
      <c r="AA1088" s="6" t="s">
        <v>1006</v>
      </c>
    </row>
    <row r="1089" spans="1:27" s="4" customFormat="1" ht="51.95" customHeight="1">
      <c r="A1089" s="5">
        <v>0</v>
      </c>
      <c r="B1089" s="6" t="s">
        <v>6696</v>
      </c>
      <c r="C1089" s="7">
        <v>1120</v>
      </c>
      <c r="D1089" s="8" t="s">
        <v>6697</v>
      </c>
      <c r="E1089" s="8" t="s">
        <v>6698</v>
      </c>
      <c r="F1089" s="8" t="s">
        <v>1221</v>
      </c>
      <c r="G1089" s="6" t="s">
        <v>83</v>
      </c>
      <c r="H1089" s="6" t="s">
        <v>470</v>
      </c>
      <c r="I1089" s="8" t="s">
        <v>470</v>
      </c>
      <c r="J1089" s="9">
        <v>1</v>
      </c>
      <c r="K1089" s="9">
        <v>348</v>
      </c>
      <c r="L1089" s="9">
        <v>2019</v>
      </c>
      <c r="M1089" s="8" t="s">
        <v>6699</v>
      </c>
      <c r="N1089" s="8" t="s">
        <v>74</v>
      </c>
      <c r="O1089" s="8" t="s">
        <v>109</v>
      </c>
      <c r="P1089" s="6" t="s">
        <v>55</v>
      </c>
      <c r="Q1089" s="8" t="s">
        <v>56</v>
      </c>
      <c r="R1089" s="10" t="s">
        <v>6695</v>
      </c>
      <c r="S1089" s="11"/>
      <c r="T1089" s="6" t="s">
        <v>190</v>
      </c>
      <c r="U1089" s="28" t="str">
        <f>HYPERLINK("https://media.infra-m.ru/1001/1001983/cover/1001983.jpg", "Обложка")</f>
        <v>Обложка</v>
      </c>
      <c r="V1089" s="28" t="str">
        <f>HYPERLINK("https://znanium.ru/catalog/product/2102185", "Ознакомиться")</f>
        <v>Ознакомиться</v>
      </c>
      <c r="W1089" s="8" t="s">
        <v>441</v>
      </c>
      <c r="X1089" s="6"/>
      <c r="Y1089" s="6"/>
      <c r="Z1089" s="6"/>
      <c r="AA1089" s="6" t="s">
        <v>59</v>
      </c>
    </row>
    <row r="1090" spans="1:27" s="4" customFormat="1" ht="44.1" customHeight="1">
      <c r="A1090" s="5">
        <v>0</v>
      </c>
      <c r="B1090" s="6" t="s">
        <v>6700</v>
      </c>
      <c r="C1090" s="7">
        <v>1050</v>
      </c>
      <c r="D1090" s="8" t="s">
        <v>6701</v>
      </c>
      <c r="E1090" s="8" t="s">
        <v>6702</v>
      </c>
      <c r="F1090" s="8" t="s">
        <v>6703</v>
      </c>
      <c r="G1090" s="6" t="s">
        <v>83</v>
      </c>
      <c r="H1090" s="6" t="s">
        <v>38</v>
      </c>
      <c r="I1090" s="8" t="s">
        <v>39</v>
      </c>
      <c r="J1090" s="9">
        <v>1</v>
      </c>
      <c r="K1090" s="9">
        <v>233</v>
      </c>
      <c r="L1090" s="9">
        <v>2023</v>
      </c>
      <c r="M1090" s="8" t="s">
        <v>6704</v>
      </c>
      <c r="N1090" s="8" t="s">
        <v>41</v>
      </c>
      <c r="O1090" s="8" t="s">
        <v>54</v>
      </c>
      <c r="P1090" s="6" t="s">
        <v>43</v>
      </c>
      <c r="Q1090" s="8" t="s">
        <v>44</v>
      </c>
      <c r="R1090" s="10" t="s">
        <v>6705</v>
      </c>
      <c r="S1090" s="11"/>
      <c r="T1090" s="6"/>
      <c r="U1090" s="28" t="str">
        <f>HYPERLINK("https://media.infra-m.ru/1938/1938032/cover/1938032.jpg", "Обложка")</f>
        <v>Обложка</v>
      </c>
      <c r="V1090" s="28" t="str">
        <f>HYPERLINK("https://znanium.ru/catalog/product/1938032", "Ознакомиться")</f>
        <v>Ознакомиться</v>
      </c>
      <c r="W1090" s="8" t="s">
        <v>2447</v>
      </c>
      <c r="X1090" s="6"/>
      <c r="Y1090" s="6"/>
      <c r="Z1090" s="6"/>
      <c r="AA1090" s="6" t="s">
        <v>68</v>
      </c>
    </row>
    <row r="1091" spans="1:27" s="4" customFormat="1" ht="51.95" customHeight="1">
      <c r="A1091" s="5">
        <v>0</v>
      </c>
      <c r="B1091" s="6" t="s">
        <v>6706</v>
      </c>
      <c r="C1091" s="7">
        <v>1350</v>
      </c>
      <c r="D1091" s="8" t="s">
        <v>6707</v>
      </c>
      <c r="E1091" s="8" t="s">
        <v>6708</v>
      </c>
      <c r="F1091" s="8" t="s">
        <v>3023</v>
      </c>
      <c r="G1091" s="6" t="s">
        <v>83</v>
      </c>
      <c r="H1091" s="6" t="s">
        <v>38</v>
      </c>
      <c r="I1091" s="8" t="s">
        <v>185</v>
      </c>
      <c r="J1091" s="9">
        <v>1</v>
      </c>
      <c r="K1091" s="9">
        <v>294</v>
      </c>
      <c r="L1091" s="9">
        <v>2024</v>
      </c>
      <c r="M1091" s="8" t="s">
        <v>6709</v>
      </c>
      <c r="N1091" s="8" t="s">
        <v>74</v>
      </c>
      <c r="O1091" s="8" t="s">
        <v>75</v>
      </c>
      <c r="P1091" s="6" t="s">
        <v>176</v>
      </c>
      <c r="Q1091" s="8" t="s">
        <v>187</v>
      </c>
      <c r="R1091" s="10" t="s">
        <v>6710</v>
      </c>
      <c r="S1091" s="11" t="s">
        <v>6711</v>
      </c>
      <c r="T1091" s="6"/>
      <c r="U1091" s="28" t="str">
        <f>HYPERLINK("https://media.infra-m.ru/2071/2071667/cover/2071667.jpg", "Обложка")</f>
        <v>Обложка</v>
      </c>
      <c r="V1091" s="28" t="str">
        <f>HYPERLINK("https://znanium.ru/catalog/product/2071667", "Ознакомиться")</f>
        <v>Ознакомиться</v>
      </c>
      <c r="W1091" s="8" t="s">
        <v>3027</v>
      </c>
      <c r="X1091" s="6"/>
      <c r="Y1091" s="6"/>
      <c r="Z1091" s="6"/>
      <c r="AA1091" s="6" t="s">
        <v>768</v>
      </c>
    </row>
    <row r="1092" spans="1:27" s="4" customFormat="1" ht="44.1" customHeight="1">
      <c r="A1092" s="5">
        <v>0</v>
      </c>
      <c r="B1092" s="6" t="s">
        <v>6712</v>
      </c>
      <c r="C1092" s="7">
        <v>1444.9</v>
      </c>
      <c r="D1092" s="8" t="s">
        <v>6713</v>
      </c>
      <c r="E1092" s="8" t="s">
        <v>6714</v>
      </c>
      <c r="F1092" s="8" t="s">
        <v>6715</v>
      </c>
      <c r="G1092" s="6" t="s">
        <v>37</v>
      </c>
      <c r="H1092" s="6" t="s">
        <v>52</v>
      </c>
      <c r="I1092" s="8" t="s">
        <v>155</v>
      </c>
      <c r="J1092" s="9">
        <v>1</v>
      </c>
      <c r="K1092" s="9">
        <v>320</v>
      </c>
      <c r="L1092" s="9">
        <v>2023</v>
      </c>
      <c r="M1092" s="8" t="s">
        <v>6716</v>
      </c>
      <c r="N1092" s="8" t="s">
        <v>74</v>
      </c>
      <c r="O1092" s="8" t="s">
        <v>75</v>
      </c>
      <c r="P1092" s="6" t="s">
        <v>55</v>
      </c>
      <c r="Q1092" s="8" t="s">
        <v>56</v>
      </c>
      <c r="R1092" s="10" t="s">
        <v>4311</v>
      </c>
      <c r="S1092" s="11"/>
      <c r="T1092" s="6"/>
      <c r="U1092" s="28" t="str">
        <f>HYPERLINK("https://media.infra-m.ru/1981/1981684/cover/1981684.jpg", "Обложка")</f>
        <v>Обложка</v>
      </c>
      <c r="V1092" s="28" t="str">
        <f>HYPERLINK("https://znanium.ru/catalog/product/1012440", "Ознакомиться")</f>
        <v>Ознакомиться</v>
      </c>
      <c r="W1092" s="8" t="s">
        <v>3027</v>
      </c>
      <c r="X1092" s="6"/>
      <c r="Y1092" s="6"/>
      <c r="Z1092" s="6"/>
      <c r="AA1092" s="6" t="s">
        <v>59</v>
      </c>
    </row>
    <row r="1093" spans="1:27" s="4" customFormat="1" ht="42" customHeight="1">
      <c r="A1093" s="5">
        <v>0</v>
      </c>
      <c r="B1093" s="6" t="s">
        <v>6717</v>
      </c>
      <c r="C1093" s="13">
        <v>600</v>
      </c>
      <c r="D1093" s="8" t="s">
        <v>6718</v>
      </c>
      <c r="E1093" s="8" t="s">
        <v>6719</v>
      </c>
      <c r="F1093" s="8" t="s">
        <v>1818</v>
      </c>
      <c r="G1093" s="6" t="s">
        <v>37</v>
      </c>
      <c r="H1093" s="6" t="s">
        <v>38</v>
      </c>
      <c r="I1093" s="8" t="s">
        <v>39</v>
      </c>
      <c r="J1093" s="9">
        <v>1</v>
      </c>
      <c r="K1093" s="9">
        <v>140</v>
      </c>
      <c r="L1093" s="9">
        <v>2022</v>
      </c>
      <c r="M1093" s="8" t="s">
        <v>6720</v>
      </c>
      <c r="N1093" s="8" t="s">
        <v>41</v>
      </c>
      <c r="O1093" s="8" t="s">
        <v>65</v>
      </c>
      <c r="P1093" s="6" t="s">
        <v>43</v>
      </c>
      <c r="Q1093" s="8" t="s">
        <v>44</v>
      </c>
      <c r="R1093" s="10" t="s">
        <v>5936</v>
      </c>
      <c r="S1093" s="11"/>
      <c r="T1093" s="6"/>
      <c r="U1093" s="28" t="str">
        <f>HYPERLINK("https://media.infra-m.ru/1042/1042275/cover/1042275.jpg", "Обложка")</f>
        <v>Обложка</v>
      </c>
      <c r="V1093" s="28" t="str">
        <f>HYPERLINK("https://znanium.ru/catalog/product/1042275", "Ознакомиться")</f>
        <v>Ознакомиться</v>
      </c>
      <c r="W1093" s="8" t="s">
        <v>1821</v>
      </c>
      <c r="X1093" s="6"/>
      <c r="Y1093" s="6"/>
      <c r="Z1093" s="6"/>
      <c r="AA1093" s="6" t="s">
        <v>103</v>
      </c>
    </row>
    <row r="1094" spans="1:27" s="4" customFormat="1" ht="51.95" customHeight="1">
      <c r="A1094" s="5">
        <v>0</v>
      </c>
      <c r="B1094" s="6" t="s">
        <v>6721</v>
      </c>
      <c r="C1094" s="13">
        <v>920</v>
      </c>
      <c r="D1094" s="8" t="s">
        <v>6722</v>
      </c>
      <c r="E1094" s="8" t="s">
        <v>6723</v>
      </c>
      <c r="F1094" s="8" t="s">
        <v>6724</v>
      </c>
      <c r="G1094" s="6" t="s">
        <v>37</v>
      </c>
      <c r="H1094" s="6" t="s">
        <v>317</v>
      </c>
      <c r="I1094" s="8" t="s">
        <v>39</v>
      </c>
      <c r="J1094" s="9">
        <v>1</v>
      </c>
      <c r="K1094" s="9">
        <v>204</v>
      </c>
      <c r="L1094" s="9">
        <v>2023</v>
      </c>
      <c r="M1094" s="8" t="s">
        <v>6725</v>
      </c>
      <c r="N1094" s="8" t="s">
        <v>74</v>
      </c>
      <c r="O1094" s="8" t="s">
        <v>394</v>
      </c>
      <c r="P1094" s="6" t="s">
        <v>43</v>
      </c>
      <c r="Q1094" s="8" t="s">
        <v>44</v>
      </c>
      <c r="R1094" s="10" t="s">
        <v>6726</v>
      </c>
      <c r="S1094" s="11"/>
      <c r="T1094" s="6"/>
      <c r="U1094" s="28" t="str">
        <f>HYPERLINK("https://media.infra-m.ru/1996/1996307/cover/1996307.jpg", "Обложка")</f>
        <v>Обложка</v>
      </c>
      <c r="V1094" s="28" t="str">
        <f>HYPERLINK("https://znanium.ru/catalog/product/1996307", "Ознакомиться")</f>
        <v>Ознакомиться</v>
      </c>
      <c r="W1094" s="8" t="s">
        <v>6727</v>
      </c>
      <c r="X1094" s="6"/>
      <c r="Y1094" s="6"/>
      <c r="Z1094" s="6"/>
      <c r="AA1094" s="6" t="s">
        <v>306</v>
      </c>
    </row>
    <row r="1095" spans="1:27" s="4" customFormat="1" ht="51.95" customHeight="1">
      <c r="A1095" s="5">
        <v>0</v>
      </c>
      <c r="B1095" s="6" t="s">
        <v>6728</v>
      </c>
      <c r="C1095" s="7">
        <v>1394</v>
      </c>
      <c r="D1095" s="8" t="s">
        <v>6729</v>
      </c>
      <c r="E1095" s="8" t="s">
        <v>6730</v>
      </c>
      <c r="F1095" s="8" t="s">
        <v>6731</v>
      </c>
      <c r="G1095" s="6" t="s">
        <v>123</v>
      </c>
      <c r="H1095" s="6" t="s">
        <v>618</v>
      </c>
      <c r="I1095" s="8" t="s">
        <v>1314</v>
      </c>
      <c r="J1095" s="9">
        <v>1</v>
      </c>
      <c r="K1095" s="9">
        <v>304</v>
      </c>
      <c r="L1095" s="9">
        <v>2024</v>
      </c>
      <c r="M1095" s="8" t="s">
        <v>6732</v>
      </c>
      <c r="N1095" s="8" t="s">
        <v>41</v>
      </c>
      <c r="O1095" s="8" t="s">
        <v>65</v>
      </c>
      <c r="P1095" s="6" t="s">
        <v>55</v>
      </c>
      <c r="Q1095" s="8" t="s">
        <v>56</v>
      </c>
      <c r="R1095" s="10" t="s">
        <v>6733</v>
      </c>
      <c r="S1095" s="11"/>
      <c r="T1095" s="6"/>
      <c r="U1095" s="28" t="str">
        <f>HYPERLINK("https://media.infra-m.ru/2083/2083285/cover/2083285.jpg", "Обложка")</f>
        <v>Обложка</v>
      </c>
      <c r="V1095" s="28" t="str">
        <f>HYPERLINK("https://znanium.ru/catalog/product/2083285", "Ознакомиться")</f>
        <v>Ознакомиться</v>
      </c>
      <c r="W1095" s="8" t="s">
        <v>1028</v>
      </c>
      <c r="X1095" s="6"/>
      <c r="Y1095" s="6"/>
      <c r="Z1095" s="6"/>
      <c r="AA1095" s="6" t="s">
        <v>290</v>
      </c>
    </row>
    <row r="1096" spans="1:27" s="4" customFormat="1" ht="42" customHeight="1">
      <c r="A1096" s="5">
        <v>0</v>
      </c>
      <c r="B1096" s="6" t="s">
        <v>6734</v>
      </c>
      <c r="C1096" s="7">
        <v>1020</v>
      </c>
      <c r="D1096" s="8" t="s">
        <v>6735</v>
      </c>
      <c r="E1096" s="8" t="s">
        <v>6736</v>
      </c>
      <c r="F1096" s="8" t="s">
        <v>6737</v>
      </c>
      <c r="G1096" s="6" t="s">
        <v>123</v>
      </c>
      <c r="H1096" s="6" t="s">
        <v>38</v>
      </c>
      <c r="I1096" s="8" t="s">
        <v>39</v>
      </c>
      <c r="J1096" s="9">
        <v>1</v>
      </c>
      <c r="K1096" s="9">
        <v>212</v>
      </c>
      <c r="L1096" s="9">
        <v>2024</v>
      </c>
      <c r="M1096" s="8" t="s">
        <v>6738</v>
      </c>
      <c r="N1096" s="8" t="s">
        <v>74</v>
      </c>
      <c r="O1096" s="8" t="s">
        <v>1559</v>
      </c>
      <c r="P1096" s="6" t="s">
        <v>43</v>
      </c>
      <c r="Q1096" s="8" t="s">
        <v>44</v>
      </c>
      <c r="R1096" s="10" t="s">
        <v>6739</v>
      </c>
      <c r="S1096" s="11"/>
      <c r="T1096" s="6"/>
      <c r="U1096" s="28" t="str">
        <f>HYPERLINK("https://media.infra-m.ru/2048/2048101/cover/2048101.jpg", "Обложка")</f>
        <v>Обложка</v>
      </c>
      <c r="V1096" s="28" t="str">
        <f>HYPERLINK("https://znanium.ru/catalog/product/2048101", "Ознакомиться")</f>
        <v>Ознакомиться</v>
      </c>
      <c r="W1096" s="8" t="s">
        <v>273</v>
      </c>
      <c r="X1096" s="6" t="s">
        <v>517</v>
      </c>
      <c r="Y1096" s="6"/>
      <c r="Z1096" s="6"/>
      <c r="AA1096" s="6" t="s">
        <v>180</v>
      </c>
    </row>
    <row r="1097" spans="1:27" s="4" customFormat="1" ht="51.95" customHeight="1">
      <c r="A1097" s="5">
        <v>0</v>
      </c>
      <c r="B1097" s="6" t="s">
        <v>6740</v>
      </c>
      <c r="C1097" s="13">
        <v>900</v>
      </c>
      <c r="D1097" s="8" t="s">
        <v>6741</v>
      </c>
      <c r="E1097" s="8" t="s">
        <v>6742</v>
      </c>
      <c r="F1097" s="8" t="s">
        <v>6743</v>
      </c>
      <c r="G1097" s="6" t="s">
        <v>123</v>
      </c>
      <c r="H1097" s="6" t="s">
        <v>38</v>
      </c>
      <c r="I1097" s="8" t="s">
        <v>155</v>
      </c>
      <c r="J1097" s="9">
        <v>1</v>
      </c>
      <c r="K1097" s="9">
        <v>189</v>
      </c>
      <c r="L1097" s="9">
        <v>2024</v>
      </c>
      <c r="M1097" s="8" t="s">
        <v>6744</v>
      </c>
      <c r="N1097" s="8" t="s">
        <v>74</v>
      </c>
      <c r="O1097" s="8" t="s">
        <v>75</v>
      </c>
      <c r="P1097" s="6" t="s">
        <v>55</v>
      </c>
      <c r="Q1097" s="8" t="s">
        <v>56</v>
      </c>
      <c r="R1097" s="10" t="s">
        <v>2097</v>
      </c>
      <c r="S1097" s="11" t="s">
        <v>6745</v>
      </c>
      <c r="T1097" s="6"/>
      <c r="U1097" s="28" t="str">
        <f>HYPERLINK("https://media.infra-m.ru/1870/1870286/cover/1870286.jpg", "Обложка")</f>
        <v>Обложка</v>
      </c>
      <c r="V1097" s="28" t="str">
        <f>HYPERLINK("https://znanium.ru/catalog/product/1870286", "Ознакомиться")</f>
        <v>Ознакомиться</v>
      </c>
      <c r="W1097" s="8" t="s">
        <v>4060</v>
      </c>
      <c r="X1097" s="6" t="s">
        <v>517</v>
      </c>
      <c r="Y1097" s="6"/>
      <c r="Z1097" s="6"/>
      <c r="AA1097" s="6" t="s">
        <v>180</v>
      </c>
    </row>
    <row r="1098" spans="1:27" s="4" customFormat="1" ht="51.95" customHeight="1">
      <c r="A1098" s="5">
        <v>0</v>
      </c>
      <c r="B1098" s="6" t="s">
        <v>6746</v>
      </c>
      <c r="C1098" s="7">
        <v>1444</v>
      </c>
      <c r="D1098" s="8" t="s">
        <v>6747</v>
      </c>
      <c r="E1098" s="8" t="s">
        <v>6748</v>
      </c>
      <c r="F1098" s="8" t="s">
        <v>6749</v>
      </c>
      <c r="G1098" s="6" t="s">
        <v>123</v>
      </c>
      <c r="H1098" s="6" t="s">
        <v>52</v>
      </c>
      <c r="I1098" s="8" t="s">
        <v>164</v>
      </c>
      <c r="J1098" s="9">
        <v>1</v>
      </c>
      <c r="K1098" s="9">
        <v>320</v>
      </c>
      <c r="L1098" s="9">
        <v>2023</v>
      </c>
      <c r="M1098" s="8" t="s">
        <v>6750</v>
      </c>
      <c r="N1098" s="8" t="s">
        <v>74</v>
      </c>
      <c r="O1098" s="8" t="s">
        <v>75</v>
      </c>
      <c r="P1098" s="6" t="s">
        <v>55</v>
      </c>
      <c r="Q1098" s="8" t="s">
        <v>56</v>
      </c>
      <c r="R1098" s="10" t="s">
        <v>5647</v>
      </c>
      <c r="S1098" s="11" t="s">
        <v>6751</v>
      </c>
      <c r="T1098" s="6"/>
      <c r="U1098" s="28" t="str">
        <f>HYPERLINK("https://media.infra-m.ru/1941/1941746/cover/1941746.jpg", "Обложка")</f>
        <v>Обложка</v>
      </c>
      <c r="V1098" s="28" t="str">
        <f>HYPERLINK("https://znanium.ru/catalog/product/1010803", "Ознакомиться")</f>
        <v>Ознакомиться</v>
      </c>
      <c r="W1098" s="8" t="s">
        <v>1137</v>
      </c>
      <c r="X1098" s="6"/>
      <c r="Y1098" s="6"/>
      <c r="Z1098" s="6"/>
      <c r="AA1098" s="6" t="s">
        <v>59</v>
      </c>
    </row>
    <row r="1099" spans="1:27" s="4" customFormat="1" ht="42" customHeight="1">
      <c r="A1099" s="5">
        <v>0</v>
      </c>
      <c r="B1099" s="6" t="s">
        <v>6752</v>
      </c>
      <c r="C1099" s="7">
        <v>1000</v>
      </c>
      <c r="D1099" s="8" t="s">
        <v>6753</v>
      </c>
      <c r="E1099" s="8" t="s">
        <v>6754</v>
      </c>
      <c r="F1099" s="8" t="s">
        <v>6755</v>
      </c>
      <c r="G1099" s="6" t="s">
        <v>37</v>
      </c>
      <c r="H1099" s="6" t="s">
        <v>38</v>
      </c>
      <c r="I1099" s="8" t="s">
        <v>39</v>
      </c>
      <c r="J1099" s="9">
        <v>1</v>
      </c>
      <c r="K1099" s="9">
        <v>225</v>
      </c>
      <c r="L1099" s="9">
        <v>2022</v>
      </c>
      <c r="M1099" s="8" t="s">
        <v>6756</v>
      </c>
      <c r="N1099" s="8" t="s">
        <v>74</v>
      </c>
      <c r="O1099" s="8" t="s">
        <v>75</v>
      </c>
      <c r="P1099" s="6" t="s">
        <v>43</v>
      </c>
      <c r="Q1099" s="8" t="s">
        <v>44</v>
      </c>
      <c r="R1099" s="10" t="s">
        <v>6757</v>
      </c>
      <c r="S1099" s="11"/>
      <c r="T1099" s="6"/>
      <c r="U1099" s="28" t="str">
        <f>HYPERLINK("https://media.infra-m.ru/1868/1868934/cover/1868934.jpg", "Обложка")</f>
        <v>Обложка</v>
      </c>
      <c r="V1099" s="28" t="str">
        <f>HYPERLINK("https://znanium.ru/catalog/product/1868934", "Ознакомиться")</f>
        <v>Ознакомиться</v>
      </c>
      <c r="W1099" s="8" t="s">
        <v>6758</v>
      </c>
      <c r="X1099" s="6"/>
      <c r="Y1099" s="6"/>
      <c r="Z1099" s="6"/>
      <c r="AA1099" s="6" t="s">
        <v>103</v>
      </c>
    </row>
    <row r="1100" spans="1:27" s="4" customFormat="1" ht="44.1" customHeight="1">
      <c r="A1100" s="5">
        <v>0</v>
      </c>
      <c r="B1100" s="6" t="s">
        <v>6759</v>
      </c>
      <c r="C1100" s="7">
        <v>1230</v>
      </c>
      <c r="D1100" s="8" t="s">
        <v>6760</v>
      </c>
      <c r="E1100" s="8" t="s">
        <v>6761</v>
      </c>
      <c r="F1100" s="8" t="s">
        <v>6762</v>
      </c>
      <c r="G1100" s="6" t="s">
        <v>37</v>
      </c>
      <c r="H1100" s="6" t="s">
        <v>38</v>
      </c>
      <c r="I1100" s="8" t="s">
        <v>1684</v>
      </c>
      <c r="J1100" s="9">
        <v>1</v>
      </c>
      <c r="K1100" s="9">
        <v>267</v>
      </c>
      <c r="L1100" s="9">
        <v>2024</v>
      </c>
      <c r="M1100" s="8" t="s">
        <v>6763</v>
      </c>
      <c r="N1100" s="8" t="s">
        <v>74</v>
      </c>
      <c r="O1100" s="8" t="s">
        <v>75</v>
      </c>
      <c r="P1100" s="6" t="s">
        <v>43</v>
      </c>
      <c r="Q1100" s="8" t="s">
        <v>44</v>
      </c>
      <c r="R1100" s="10" t="s">
        <v>4235</v>
      </c>
      <c r="S1100" s="11"/>
      <c r="T1100" s="6"/>
      <c r="U1100" s="28" t="str">
        <f>HYPERLINK("https://media.infra-m.ru/2063/2063435/cover/2063435.jpg", "Обложка")</f>
        <v>Обложка</v>
      </c>
      <c r="V1100" s="28" t="str">
        <f>HYPERLINK("https://znanium.ru/catalog/product/2063435", "Ознакомиться")</f>
        <v>Ознакомиться</v>
      </c>
      <c r="W1100" s="8" t="s">
        <v>557</v>
      </c>
      <c r="X1100" s="6"/>
      <c r="Y1100" s="6"/>
      <c r="Z1100" s="6"/>
      <c r="AA1100" s="6" t="s">
        <v>78</v>
      </c>
    </row>
    <row r="1101" spans="1:27" s="4" customFormat="1" ht="42" customHeight="1">
      <c r="A1101" s="5">
        <v>0</v>
      </c>
      <c r="B1101" s="6" t="s">
        <v>6764</v>
      </c>
      <c r="C1101" s="13">
        <v>674.9</v>
      </c>
      <c r="D1101" s="8" t="s">
        <v>6765</v>
      </c>
      <c r="E1101" s="8" t="s">
        <v>6766</v>
      </c>
      <c r="F1101" s="8" t="s">
        <v>6767</v>
      </c>
      <c r="G1101" s="6" t="s">
        <v>37</v>
      </c>
      <c r="H1101" s="6" t="s">
        <v>618</v>
      </c>
      <c r="I1101" s="8"/>
      <c r="J1101" s="9">
        <v>1</v>
      </c>
      <c r="K1101" s="9">
        <v>224</v>
      </c>
      <c r="L1101" s="9">
        <v>2020</v>
      </c>
      <c r="M1101" s="8" t="s">
        <v>6768</v>
      </c>
      <c r="N1101" s="8" t="s">
        <v>41</v>
      </c>
      <c r="O1101" s="8" t="s">
        <v>54</v>
      </c>
      <c r="P1101" s="6" t="s">
        <v>43</v>
      </c>
      <c r="Q1101" s="8" t="s">
        <v>44</v>
      </c>
      <c r="R1101" s="10" t="s">
        <v>6769</v>
      </c>
      <c r="S1101" s="11"/>
      <c r="T1101" s="6"/>
      <c r="U1101" s="28" t="str">
        <f>HYPERLINK("https://media.infra-m.ru/1077/1077264/cover/1077264.jpg", "Обложка")</f>
        <v>Обложка</v>
      </c>
      <c r="V1101" s="28" t="str">
        <f>HYPERLINK("https://znanium.ru/catalog/product/1234919", "Ознакомиться")</f>
        <v>Ознакомиться</v>
      </c>
      <c r="W1101" s="8" t="s">
        <v>6770</v>
      </c>
      <c r="X1101" s="6"/>
      <c r="Y1101" s="6"/>
      <c r="Z1101" s="6"/>
      <c r="AA1101" s="6" t="s">
        <v>59</v>
      </c>
    </row>
    <row r="1102" spans="1:27" s="4" customFormat="1" ht="42" customHeight="1">
      <c r="A1102" s="5">
        <v>0</v>
      </c>
      <c r="B1102" s="6" t="s">
        <v>6771</v>
      </c>
      <c r="C1102" s="13">
        <v>710</v>
      </c>
      <c r="D1102" s="8" t="s">
        <v>6772</v>
      </c>
      <c r="E1102" s="8" t="s">
        <v>6773</v>
      </c>
      <c r="F1102" s="8" t="s">
        <v>6774</v>
      </c>
      <c r="G1102" s="6" t="s">
        <v>37</v>
      </c>
      <c r="H1102" s="6" t="s">
        <v>38</v>
      </c>
      <c r="I1102" s="8" t="s">
        <v>39</v>
      </c>
      <c r="J1102" s="9">
        <v>1</v>
      </c>
      <c r="K1102" s="9">
        <v>151</v>
      </c>
      <c r="L1102" s="9">
        <v>2024</v>
      </c>
      <c r="M1102" s="8" t="s">
        <v>6775</v>
      </c>
      <c r="N1102" s="8" t="s">
        <v>74</v>
      </c>
      <c r="O1102" s="8" t="s">
        <v>75</v>
      </c>
      <c r="P1102" s="6" t="s">
        <v>43</v>
      </c>
      <c r="Q1102" s="8" t="s">
        <v>44</v>
      </c>
      <c r="R1102" s="10" t="s">
        <v>6776</v>
      </c>
      <c r="S1102" s="11"/>
      <c r="T1102" s="6"/>
      <c r="U1102" s="28" t="str">
        <f>HYPERLINK("https://media.infra-m.ru/2144/2144238/cover/2144238.jpg", "Обложка")</f>
        <v>Обложка</v>
      </c>
      <c r="V1102" s="28" t="str">
        <f>HYPERLINK("https://znanium.ru/catalog/product/2144238", "Ознакомиться")</f>
        <v>Ознакомиться</v>
      </c>
      <c r="W1102" s="8" t="s">
        <v>6216</v>
      </c>
      <c r="X1102" s="6"/>
      <c r="Y1102" s="6"/>
      <c r="Z1102" s="6"/>
      <c r="AA1102" s="6" t="s">
        <v>59</v>
      </c>
    </row>
    <row r="1103" spans="1:27" s="4" customFormat="1" ht="51.95" customHeight="1">
      <c r="A1103" s="5">
        <v>0</v>
      </c>
      <c r="B1103" s="6" t="s">
        <v>6777</v>
      </c>
      <c r="C1103" s="13">
        <v>220</v>
      </c>
      <c r="D1103" s="8" t="s">
        <v>6778</v>
      </c>
      <c r="E1103" s="8" t="s">
        <v>6779</v>
      </c>
      <c r="F1103" s="8" t="s">
        <v>1476</v>
      </c>
      <c r="G1103" s="6" t="s">
        <v>37</v>
      </c>
      <c r="H1103" s="6" t="s">
        <v>618</v>
      </c>
      <c r="I1103" s="8"/>
      <c r="J1103" s="9">
        <v>1</v>
      </c>
      <c r="K1103" s="9">
        <v>48</v>
      </c>
      <c r="L1103" s="9">
        <v>2023</v>
      </c>
      <c r="M1103" s="8" t="s">
        <v>6780</v>
      </c>
      <c r="N1103" s="8" t="s">
        <v>41</v>
      </c>
      <c r="O1103" s="8" t="s">
        <v>65</v>
      </c>
      <c r="P1103" s="6" t="s">
        <v>43</v>
      </c>
      <c r="Q1103" s="8" t="s">
        <v>44</v>
      </c>
      <c r="R1103" s="10" t="s">
        <v>6781</v>
      </c>
      <c r="S1103" s="11"/>
      <c r="T1103" s="6"/>
      <c r="U1103" s="28" t="str">
        <f>HYPERLINK("https://media.infra-m.ru/1993/1993586/cover/1993586.jpg", "Обложка")</f>
        <v>Обложка</v>
      </c>
      <c r="V1103" s="28" t="str">
        <f>HYPERLINK("https://znanium.ru/catalog/product/1993586", "Ознакомиться")</f>
        <v>Ознакомиться</v>
      </c>
      <c r="W1103" s="8" t="s">
        <v>416</v>
      </c>
      <c r="X1103" s="6"/>
      <c r="Y1103" s="6"/>
      <c r="Z1103" s="6"/>
      <c r="AA1103" s="6" t="s">
        <v>96</v>
      </c>
    </row>
    <row r="1104" spans="1:27" s="4" customFormat="1" ht="42" customHeight="1">
      <c r="A1104" s="5">
        <v>0</v>
      </c>
      <c r="B1104" s="6" t="s">
        <v>6782</v>
      </c>
      <c r="C1104" s="7">
        <v>2300</v>
      </c>
      <c r="D1104" s="8" t="s">
        <v>6783</v>
      </c>
      <c r="E1104" s="8" t="s">
        <v>6784</v>
      </c>
      <c r="F1104" s="8" t="s">
        <v>6785</v>
      </c>
      <c r="G1104" s="6" t="s">
        <v>37</v>
      </c>
      <c r="H1104" s="6" t="s">
        <v>725</v>
      </c>
      <c r="I1104" s="8"/>
      <c r="J1104" s="9">
        <v>1</v>
      </c>
      <c r="K1104" s="9">
        <v>512</v>
      </c>
      <c r="L1104" s="9">
        <v>2023</v>
      </c>
      <c r="M1104" s="8" t="s">
        <v>6786</v>
      </c>
      <c r="N1104" s="8" t="s">
        <v>41</v>
      </c>
      <c r="O1104" s="8" t="s">
        <v>65</v>
      </c>
      <c r="P1104" s="6" t="s">
        <v>43</v>
      </c>
      <c r="Q1104" s="8" t="s">
        <v>44</v>
      </c>
      <c r="R1104" s="10" t="s">
        <v>6787</v>
      </c>
      <c r="S1104" s="11"/>
      <c r="T1104" s="6"/>
      <c r="U1104" s="28" t="str">
        <f>HYPERLINK("https://media.infra-m.ru/2020/2020557/cover/2020557.jpg", "Обложка")</f>
        <v>Обложка</v>
      </c>
      <c r="V1104" s="28" t="str">
        <f>HYPERLINK("https://znanium.ru/catalog/product/2020557", "Ознакомиться")</f>
        <v>Ознакомиться</v>
      </c>
      <c r="W1104" s="8" t="s">
        <v>416</v>
      </c>
      <c r="X1104" s="6"/>
      <c r="Y1104" s="6"/>
      <c r="Z1104" s="6"/>
      <c r="AA1104" s="6" t="s">
        <v>47</v>
      </c>
    </row>
    <row r="1105" spans="1:27" s="4" customFormat="1" ht="42" customHeight="1">
      <c r="A1105" s="5">
        <v>0</v>
      </c>
      <c r="B1105" s="6" t="s">
        <v>6788</v>
      </c>
      <c r="C1105" s="7">
        <v>1462</v>
      </c>
      <c r="D1105" s="8" t="s">
        <v>6789</v>
      </c>
      <c r="E1105" s="8" t="s">
        <v>6790</v>
      </c>
      <c r="F1105" s="8" t="s">
        <v>6791</v>
      </c>
      <c r="G1105" s="6" t="s">
        <v>83</v>
      </c>
      <c r="H1105" s="6" t="s">
        <v>38</v>
      </c>
      <c r="I1105" s="8" t="s">
        <v>325</v>
      </c>
      <c r="J1105" s="9">
        <v>1</v>
      </c>
      <c r="K1105" s="9">
        <v>244</v>
      </c>
      <c r="L1105" s="9">
        <v>2023</v>
      </c>
      <c r="M1105" s="8" t="s">
        <v>6792</v>
      </c>
      <c r="N1105" s="8" t="s">
        <v>41</v>
      </c>
      <c r="O1105" s="8" t="s">
        <v>65</v>
      </c>
      <c r="P1105" s="6" t="s">
        <v>43</v>
      </c>
      <c r="Q1105" s="8" t="s">
        <v>44</v>
      </c>
      <c r="R1105" s="10" t="s">
        <v>6793</v>
      </c>
      <c r="S1105" s="11"/>
      <c r="T1105" s="6"/>
      <c r="U1105" s="28" t="str">
        <f>HYPERLINK("https://media.infra-m.ru/2091/2091423/cover/2091423.jpg", "Обложка")</f>
        <v>Обложка</v>
      </c>
      <c r="V1105" s="12"/>
      <c r="W1105" s="8" t="s">
        <v>327</v>
      </c>
      <c r="X1105" s="6"/>
      <c r="Y1105" s="6"/>
      <c r="Z1105" s="6"/>
      <c r="AA1105" s="6" t="s">
        <v>68</v>
      </c>
    </row>
    <row r="1106" spans="1:27" s="4" customFormat="1" ht="51.95" customHeight="1">
      <c r="A1106" s="5">
        <v>0</v>
      </c>
      <c r="B1106" s="6" t="s">
        <v>6794</v>
      </c>
      <c r="C1106" s="7">
        <v>1050</v>
      </c>
      <c r="D1106" s="8" t="s">
        <v>6795</v>
      </c>
      <c r="E1106" s="8" t="s">
        <v>6796</v>
      </c>
      <c r="F1106" s="8" t="s">
        <v>6797</v>
      </c>
      <c r="G1106" s="6" t="s">
        <v>83</v>
      </c>
      <c r="H1106" s="6" t="s">
        <v>52</v>
      </c>
      <c r="I1106" s="8" t="s">
        <v>205</v>
      </c>
      <c r="J1106" s="9">
        <v>1</v>
      </c>
      <c r="K1106" s="9">
        <v>205</v>
      </c>
      <c r="L1106" s="9">
        <v>2022</v>
      </c>
      <c r="M1106" s="8" t="s">
        <v>6798</v>
      </c>
      <c r="N1106" s="8" t="s">
        <v>74</v>
      </c>
      <c r="O1106" s="8" t="s">
        <v>394</v>
      </c>
      <c r="P1106" s="6" t="s">
        <v>176</v>
      </c>
      <c r="Q1106" s="8" t="s">
        <v>207</v>
      </c>
      <c r="R1106" s="10" t="s">
        <v>2108</v>
      </c>
      <c r="S1106" s="11" t="s">
        <v>6799</v>
      </c>
      <c r="T1106" s="6"/>
      <c r="U1106" s="28" t="str">
        <f>HYPERLINK("https://media.infra-m.ru/1845/1845902/cover/1845902.jpg", "Обложка")</f>
        <v>Обложка</v>
      </c>
      <c r="V1106" s="28" t="str">
        <f>HYPERLINK("https://znanium.ru/catalog/product/1845902", "Ознакомиться")</f>
        <v>Ознакомиться</v>
      </c>
      <c r="W1106" s="8" t="s">
        <v>355</v>
      </c>
      <c r="X1106" s="6"/>
      <c r="Y1106" s="6"/>
      <c r="Z1106" s="6" t="s">
        <v>235</v>
      </c>
      <c r="AA1106" s="6" t="s">
        <v>78</v>
      </c>
    </row>
    <row r="1107" spans="1:27" s="4" customFormat="1" ht="44.1" customHeight="1">
      <c r="A1107" s="5">
        <v>0</v>
      </c>
      <c r="B1107" s="6" t="s">
        <v>6800</v>
      </c>
      <c r="C1107" s="7">
        <v>1274</v>
      </c>
      <c r="D1107" s="8" t="s">
        <v>6801</v>
      </c>
      <c r="E1107" s="8" t="s">
        <v>6796</v>
      </c>
      <c r="F1107" s="8" t="s">
        <v>6802</v>
      </c>
      <c r="G1107" s="6" t="s">
        <v>123</v>
      </c>
      <c r="H1107" s="6" t="s">
        <v>52</v>
      </c>
      <c r="I1107" s="8" t="s">
        <v>164</v>
      </c>
      <c r="J1107" s="9">
        <v>1</v>
      </c>
      <c r="K1107" s="9">
        <v>208</v>
      </c>
      <c r="L1107" s="9">
        <v>2024</v>
      </c>
      <c r="M1107" s="8" t="s">
        <v>6803</v>
      </c>
      <c r="N1107" s="8" t="s">
        <v>74</v>
      </c>
      <c r="O1107" s="8" t="s">
        <v>394</v>
      </c>
      <c r="P1107" s="6" t="s">
        <v>176</v>
      </c>
      <c r="Q1107" s="8" t="s">
        <v>56</v>
      </c>
      <c r="R1107" s="10" t="s">
        <v>6804</v>
      </c>
      <c r="S1107" s="11"/>
      <c r="T1107" s="6"/>
      <c r="U1107" s="28" t="str">
        <f>HYPERLINK("https://media.infra-m.ru/2142/2142823/cover/2142823.jpg", "Обложка")</f>
        <v>Обложка</v>
      </c>
      <c r="V1107" s="28" t="str">
        <f>HYPERLINK("https://znanium.ru/catalog/product/1374599", "Ознакомиться")</f>
        <v>Ознакомиться</v>
      </c>
      <c r="W1107" s="8" t="s">
        <v>355</v>
      </c>
      <c r="X1107" s="6"/>
      <c r="Y1107" s="6"/>
      <c r="Z1107" s="6"/>
      <c r="AA1107" s="6" t="s">
        <v>59</v>
      </c>
    </row>
    <row r="1108" spans="1:27" s="4" customFormat="1" ht="51.95" customHeight="1">
      <c r="A1108" s="5">
        <v>0</v>
      </c>
      <c r="B1108" s="6" t="s">
        <v>6805</v>
      </c>
      <c r="C1108" s="13">
        <v>510</v>
      </c>
      <c r="D1108" s="8" t="s">
        <v>6806</v>
      </c>
      <c r="E1108" s="8" t="s">
        <v>6807</v>
      </c>
      <c r="F1108" s="8" t="s">
        <v>890</v>
      </c>
      <c r="G1108" s="6" t="s">
        <v>37</v>
      </c>
      <c r="H1108" s="6" t="s">
        <v>38</v>
      </c>
      <c r="I1108" s="8" t="s">
        <v>155</v>
      </c>
      <c r="J1108" s="9">
        <v>1</v>
      </c>
      <c r="K1108" s="9">
        <v>88</v>
      </c>
      <c r="L1108" s="9">
        <v>2024</v>
      </c>
      <c r="M1108" s="8" t="s">
        <v>6808</v>
      </c>
      <c r="N1108" s="8" t="s">
        <v>74</v>
      </c>
      <c r="O1108" s="8" t="s">
        <v>394</v>
      </c>
      <c r="P1108" s="6" t="s">
        <v>55</v>
      </c>
      <c r="Q1108" s="8" t="s">
        <v>177</v>
      </c>
      <c r="R1108" s="10" t="s">
        <v>1399</v>
      </c>
      <c r="S1108" s="11" t="s">
        <v>6809</v>
      </c>
      <c r="T1108" s="6"/>
      <c r="U1108" s="28" t="str">
        <f>HYPERLINK("https://media.infra-m.ru/1871/1871529/cover/1871529.jpg", "Обложка")</f>
        <v>Обложка</v>
      </c>
      <c r="V1108" s="28" t="str">
        <f>HYPERLINK("https://znanium.ru/catalog/product/1871529", "Ознакомиться")</f>
        <v>Ознакомиться</v>
      </c>
      <c r="W1108" s="8" t="s">
        <v>893</v>
      </c>
      <c r="X1108" s="6"/>
      <c r="Y1108" s="6"/>
      <c r="Z1108" s="6"/>
      <c r="AA1108" s="6" t="s">
        <v>364</v>
      </c>
    </row>
    <row r="1109" spans="1:27" s="4" customFormat="1" ht="51.95" customHeight="1">
      <c r="A1109" s="5">
        <v>0</v>
      </c>
      <c r="B1109" s="6" t="s">
        <v>6810</v>
      </c>
      <c r="C1109" s="13">
        <v>514</v>
      </c>
      <c r="D1109" s="8" t="s">
        <v>6811</v>
      </c>
      <c r="E1109" s="8" t="s">
        <v>6812</v>
      </c>
      <c r="F1109" s="8" t="s">
        <v>890</v>
      </c>
      <c r="G1109" s="6" t="s">
        <v>37</v>
      </c>
      <c r="H1109" s="6" t="s">
        <v>52</v>
      </c>
      <c r="I1109" s="8" t="s">
        <v>884</v>
      </c>
      <c r="J1109" s="9">
        <v>1</v>
      </c>
      <c r="K1109" s="9">
        <v>112</v>
      </c>
      <c r="L1109" s="9">
        <v>2024</v>
      </c>
      <c r="M1109" s="8" t="s">
        <v>6813</v>
      </c>
      <c r="N1109" s="8" t="s">
        <v>74</v>
      </c>
      <c r="O1109" s="8" t="s">
        <v>394</v>
      </c>
      <c r="P1109" s="6" t="s">
        <v>55</v>
      </c>
      <c r="Q1109" s="8" t="s">
        <v>594</v>
      </c>
      <c r="R1109" s="10" t="s">
        <v>892</v>
      </c>
      <c r="S1109" s="11" t="s">
        <v>6814</v>
      </c>
      <c r="T1109" s="6"/>
      <c r="U1109" s="28" t="str">
        <f>HYPERLINK("https://media.infra-m.ru/2120/2120781/cover/2120781.jpg", "Обложка")</f>
        <v>Обложка</v>
      </c>
      <c r="V1109" s="28" t="str">
        <f>HYPERLINK("https://znanium.ru/catalog/product/1072227", "Ознакомиться")</f>
        <v>Ознакомиться</v>
      </c>
      <c r="W1109" s="8" t="s">
        <v>893</v>
      </c>
      <c r="X1109" s="6"/>
      <c r="Y1109" s="6"/>
      <c r="Z1109" s="6"/>
      <c r="AA1109" s="6" t="s">
        <v>364</v>
      </c>
    </row>
    <row r="1110" spans="1:27" s="4" customFormat="1" ht="42" customHeight="1">
      <c r="A1110" s="5">
        <v>0</v>
      </c>
      <c r="B1110" s="6" t="s">
        <v>6815</v>
      </c>
      <c r="C1110" s="7">
        <v>1724.9</v>
      </c>
      <c r="D1110" s="8" t="s">
        <v>6816</v>
      </c>
      <c r="E1110" s="8" t="s">
        <v>6817</v>
      </c>
      <c r="F1110" s="8" t="s">
        <v>1102</v>
      </c>
      <c r="G1110" s="6" t="s">
        <v>123</v>
      </c>
      <c r="H1110" s="6" t="s">
        <v>38</v>
      </c>
      <c r="I1110" s="8" t="s">
        <v>39</v>
      </c>
      <c r="J1110" s="9">
        <v>1</v>
      </c>
      <c r="K1110" s="9">
        <v>383</v>
      </c>
      <c r="L1110" s="9">
        <v>2023</v>
      </c>
      <c r="M1110" s="8" t="s">
        <v>6818</v>
      </c>
      <c r="N1110" s="8" t="s">
        <v>41</v>
      </c>
      <c r="O1110" s="8" t="s">
        <v>65</v>
      </c>
      <c r="P1110" s="6" t="s">
        <v>43</v>
      </c>
      <c r="Q1110" s="8" t="s">
        <v>44</v>
      </c>
      <c r="R1110" s="10" t="s">
        <v>6819</v>
      </c>
      <c r="S1110" s="11"/>
      <c r="T1110" s="6"/>
      <c r="U1110" s="28" t="str">
        <f>HYPERLINK("https://media.infra-m.ru/2030/2030876/cover/2030876.jpg", "Обложка")</f>
        <v>Обложка</v>
      </c>
      <c r="V1110" s="28" t="str">
        <f>HYPERLINK("https://znanium.ru/catalog/product/992360", "Ознакомиться")</f>
        <v>Ознакомиться</v>
      </c>
      <c r="W1110" s="8" t="s">
        <v>1105</v>
      </c>
      <c r="X1110" s="6"/>
      <c r="Y1110" s="6"/>
      <c r="Z1110" s="6"/>
      <c r="AA1110" s="6" t="s">
        <v>78</v>
      </c>
    </row>
    <row r="1111" spans="1:27" s="4" customFormat="1" ht="51.95" customHeight="1">
      <c r="A1111" s="5">
        <v>0</v>
      </c>
      <c r="B1111" s="6" t="s">
        <v>6820</v>
      </c>
      <c r="C1111" s="7">
        <v>1400</v>
      </c>
      <c r="D1111" s="8" t="s">
        <v>6821</v>
      </c>
      <c r="E1111" s="8" t="s">
        <v>6822</v>
      </c>
      <c r="F1111" s="8" t="s">
        <v>6823</v>
      </c>
      <c r="G1111" s="6" t="s">
        <v>83</v>
      </c>
      <c r="H1111" s="6" t="s">
        <v>317</v>
      </c>
      <c r="I1111" s="8" t="s">
        <v>39</v>
      </c>
      <c r="J1111" s="9">
        <v>1</v>
      </c>
      <c r="K1111" s="9">
        <v>304</v>
      </c>
      <c r="L1111" s="9">
        <v>2023</v>
      </c>
      <c r="M1111" s="8" t="s">
        <v>6824</v>
      </c>
      <c r="N1111" s="8" t="s">
        <v>41</v>
      </c>
      <c r="O1111" s="8" t="s">
        <v>65</v>
      </c>
      <c r="P1111" s="6" t="s">
        <v>43</v>
      </c>
      <c r="Q1111" s="8" t="s">
        <v>44</v>
      </c>
      <c r="R1111" s="10" t="s">
        <v>6825</v>
      </c>
      <c r="S1111" s="11"/>
      <c r="T1111" s="6"/>
      <c r="U1111" s="28" t="str">
        <f>HYPERLINK("https://media.infra-m.ru/1979/1979153/cover/1979153.jpg", "Обложка")</f>
        <v>Обложка</v>
      </c>
      <c r="V1111" s="12"/>
      <c r="W1111" s="8" t="s">
        <v>4319</v>
      </c>
      <c r="X1111" s="6"/>
      <c r="Y1111" s="6"/>
      <c r="Z1111" s="6"/>
      <c r="AA1111" s="6" t="s">
        <v>2321</v>
      </c>
    </row>
    <row r="1112" spans="1:27" s="4" customFormat="1" ht="51.95" customHeight="1">
      <c r="A1112" s="5">
        <v>0</v>
      </c>
      <c r="B1112" s="6" t="s">
        <v>6826</v>
      </c>
      <c r="C1112" s="13">
        <v>870</v>
      </c>
      <c r="D1112" s="8" t="s">
        <v>6827</v>
      </c>
      <c r="E1112" s="8" t="s">
        <v>6828</v>
      </c>
      <c r="F1112" s="8" t="s">
        <v>6823</v>
      </c>
      <c r="G1112" s="6" t="s">
        <v>123</v>
      </c>
      <c r="H1112" s="6" t="s">
        <v>317</v>
      </c>
      <c r="I1112" s="8" t="s">
        <v>39</v>
      </c>
      <c r="J1112" s="9">
        <v>1</v>
      </c>
      <c r="K1112" s="9">
        <v>248</v>
      </c>
      <c r="L1112" s="9">
        <v>2020</v>
      </c>
      <c r="M1112" s="8" t="s">
        <v>6829</v>
      </c>
      <c r="N1112" s="8" t="s">
        <v>41</v>
      </c>
      <c r="O1112" s="8" t="s">
        <v>65</v>
      </c>
      <c r="P1112" s="6" t="s">
        <v>43</v>
      </c>
      <c r="Q1112" s="8" t="s">
        <v>44</v>
      </c>
      <c r="R1112" s="10" t="s">
        <v>6825</v>
      </c>
      <c r="S1112" s="11"/>
      <c r="T1112" s="6"/>
      <c r="U1112" s="28" t="str">
        <f>HYPERLINK("https://media.infra-m.ru/1061/1061615/cover/1061615.jpg", "Обложка")</f>
        <v>Обложка</v>
      </c>
      <c r="V1112" s="12"/>
      <c r="W1112" s="8" t="s">
        <v>4319</v>
      </c>
      <c r="X1112" s="6"/>
      <c r="Y1112" s="6"/>
      <c r="Z1112" s="6"/>
      <c r="AA1112" s="6" t="s">
        <v>78</v>
      </c>
    </row>
    <row r="1113" spans="1:27" s="4" customFormat="1" ht="51.95" customHeight="1">
      <c r="A1113" s="5">
        <v>0</v>
      </c>
      <c r="B1113" s="6" t="s">
        <v>6830</v>
      </c>
      <c r="C1113" s="13">
        <v>674.9</v>
      </c>
      <c r="D1113" s="8" t="s">
        <v>6831</v>
      </c>
      <c r="E1113" s="8" t="s">
        <v>6832</v>
      </c>
      <c r="F1113" s="8" t="s">
        <v>6833</v>
      </c>
      <c r="G1113" s="6" t="s">
        <v>37</v>
      </c>
      <c r="H1113" s="6" t="s">
        <v>38</v>
      </c>
      <c r="I1113" s="8" t="s">
        <v>39</v>
      </c>
      <c r="J1113" s="9">
        <v>1</v>
      </c>
      <c r="K1113" s="9">
        <v>150</v>
      </c>
      <c r="L1113" s="9">
        <v>2023</v>
      </c>
      <c r="M1113" s="8" t="s">
        <v>6834</v>
      </c>
      <c r="N1113" s="8" t="s">
        <v>74</v>
      </c>
      <c r="O1113" s="8" t="s">
        <v>75</v>
      </c>
      <c r="P1113" s="6" t="s">
        <v>43</v>
      </c>
      <c r="Q1113" s="8" t="s">
        <v>44</v>
      </c>
      <c r="R1113" s="10" t="s">
        <v>3019</v>
      </c>
      <c r="S1113" s="11"/>
      <c r="T1113" s="6"/>
      <c r="U1113" s="28" t="str">
        <f>HYPERLINK("https://media.infra-m.ru/1896/1896425/cover/1896425.jpg", "Обложка")</f>
        <v>Обложка</v>
      </c>
      <c r="V1113" s="28" t="str">
        <f>HYPERLINK("https://znanium.ru/catalog/product/1078338", "Ознакомиться")</f>
        <v>Ознакомиться</v>
      </c>
      <c r="W1113" s="8" t="s">
        <v>159</v>
      </c>
      <c r="X1113" s="6"/>
      <c r="Y1113" s="6"/>
      <c r="Z1113" s="6"/>
      <c r="AA1113" s="6" t="s">
        <v>59</v>
      </c>
    </row>
    <row r="1114" spans="1:27" s="4" customFormat="1" ht="51.95" customHeight="1">
      <c r="A1114" s="5">
        <v>0</v>
      </c>
      <c r="B1114" s="6" t="s">
        <v>6835</v>
      </c>
      <c r="C1114" s="7">
        <v>1360</v>
      </c>
      <c r="D1114" s="8" t="s">
        <v>6836</v>
      </c>
      <c r="E1114" s="8" t="s">
        <v>6837</v>
      </c>
      <c r="F1114" s="8" t="s">
        <v>5429</v>
      </c>
      <c r="G1114" s="6" t="s">
        <v>123</v>
      </c>
      <c r="H1114" s="6" t="s">
        <v>38</v>
      </c>
      <c r="I1114" s="8" t="s">
        <v>164</v>
      </c>
      <c r="J1114" s="9">
        <v>1</v>
      </c>
      <c r="K1114" s="9">
        <v>355</v>
      </c>
      <c r="L1114" s="9">
        <v>2022</v>
      </c>
      <c r="M1114" s="8" t="s">
        <v>6838</v>
      </c>
      <c r="N1114" s="8" t="s">
        <v>41</v>
      </c>
      <c r="O1114" s="8" t="s">
        <v>42</v>
      </c>
      <c r="P1114" s="6" t="s">
        <v>55</v>
      </c>
      <c r="Q1114" s="8" t="s">
        <v>56</v>
      </c>
      <c r="R1114" s="10" t="s">
        <v>6839</v>
      </c>
      <c r="S1114" s="11" t="s">
        <v>6840</v>
      </c>
      <c r="T1114" s="6"/>
      <c r="U1114" s="28" t="str">
        <f>HYPERLINK("https://media.infra-m.ru/0992/0992890/cover/992890.jpg", "Обложка")</f>
        <v>Обложка</v>
      </c>
      <c r="V1114" s="28" t="str">
        <f>HYPERLINK("https://znanium.ru/catalog/product/992890", "Ознакомиться")</f>
        <v>Ознакомиться</v>
      </c>
      <c r="W1114" s="8" t="s">
        <v>1764</v>
      </c>
      <c r="X1114" s="6"/>
      <c r="Y1114" s="6"/>
      <c r="Z1114" s="6"/>
      <c r="AA1114" s="6" t="s">
        <v>103</v>
      </c>
    </row>
    <row r="1115" spans="1:27" s="4" customFormat="1" ht="42" customHeight="1">
      <c r="A1115" s="5">
        <v>0</v>
      </c>
      <c r="B1115" s="6" t="s">
        <v>6841</v>
      </c>
      <c r="C1115" s="7">
        <v>1200</v>
      </c>
      <c r="D1115" s="8" t="s">
        <v>6842</v>
      </c>
      <c r="E1115" s="8" t="s">
        <v>6843</v>
      </c>
      <c r="F1115" s="8" t="s">
        <v>6844</v>
      </c>
      <c r="G1115" s="6" t="s">
        <v>83</v>
      </c>
      <c r="H1115" s="6" t="s">
        <v>38</v>
      </c>
      <c r="I1115" s="8" t="s">
        <v>325</v>
      </c>
      <c r="J1115" s="9">
        <v>1</v>
      </c>
      <c r="K1115" s="9">
        <v>259</v>
      </c>
      <c r="L1115" s="9">
        <v>2024</v>
      </c>
      <c r="M1115" s="8" t="s">
        <v>6845</v>
      </c>
      <c r="N1115" s="8" t="s">
        <v>74</v>
      </c>
      <c r="O1115" s="8" t="s">
        <v>75</v>
      </c>
      <c r="P1115" s="6" t="s">
        <v>43</v>
      </c>
      <c r="Q1115" s="8" t="s">
        <v>44</v>
      </c>
      <c r="R1115" s="10" t="s">
        <v>1034</v>
      </c>
      <c r="S1115" s="11"/>
      <c r="T1115" s="6"/>
      <c r="U1115" s="28" t="str">
        <f>HYPERLINK("https://media.infra-m.ru/2086/2086807/cover/2086807.jpg", "Обложка")</f>
        <v>Обложка</v>
      </c>
      <c r="V1115" s="12"/>
      <c r="W1115" s="8" t="s">
        <v>327</v>
      </c>
      <c r="X1115" s="6"/>
      <c r="Y1115" s="6"/>
      <c r="Z1115" s="6"/>
      <c r="AA1115" s="6" t="s">
        <v>68</v>
      </c>
    </row>
    <row r="1116" spans="1:27" s="4" customFormat="1" ht="42" customHeight="1">
      <c r="A1116" s="5">
        <v>0</v>
      </c>
      <c r="B1116" s="6" t="s">
        <v>6846</v>
      </c>
      <c r="C1116" s="7">
        <v>1050</v>
      </c>
      <c r="D1116" s="8" t="s">
        <v>6847</v>
      </c>
      <c r="E1116" s="8" t="s">
        <v>6848</v>
      </c>
      <c r="F1116" s="8" t="s">
        <v>5372</v>
      </c>
      <c r="G1116" s="6" t="s">
        <v>83</v>
      </c>
      <c r="H1116" s="6" t="s">
        <v>38</v>
      </c>
      <c r="I1116" s="8" t="s">
        <v>39</v>
      </c>
      <c r="J1116" s="9">
        <v>1</v>
      </c>
      <c r="K1116" s="9">
        <v>272</v>
      </c>
      <c r="L1116" s="9">
        <v>2022</v>
      </c>
      <c r="M1116" s="8" t="s">
        <v>6849</v>
      </c>
      <c r="N1116" s="8" t="s">
        <v>41</v>
      </c>
      <c r="O1116" s="8" t="s">
        <v>65</v>
      </c>
      <c r="P1116" s="6" t="s">
        <v>43</v>
      </c>
      <c r="Q1116" s="8" t="s">
        <v>44</v>
      </c>
      <c r="R1116" s="10" t="s">
        <v>5320</v>
      </c>
      <c r="S1116" s="11"/>
      <c r="T1116" s="6"/>
      <c r="U1116" s="28" t="str">
        <f>HYPERLINK("https://media.infra-m.ru/1869/1869673/cover/1869673.jpg", "Обложка")</f>
        <v>Обложка</v>
      </c>
      <c r="V1116" s="28" t="str">
        <f>HYPERLINK("https://znanium.ru/catalog/product/1869673", "Ознакомиться")</f>
        <v>Ознакомиться</v>
      </c>
      <c r="W1116" s="8" t="s">
        <v>4060</v>
      </c>
      <c r="X1116" s="6"/>
      <c r="Y1116" s="6"/>
      <c r="Z1116" s="6"/>
      <c r="AA1116" s="6" t="s">
        <v>364</v>
      </c>
    </row>
    <row r="1117" spans="1:27" s="4" customFormat="1" ht="42" customHeight="1">
      <c r="A1117" s="5">
        <v>0</v>
      </c>
      <c r="B1117" s="6" t="s">
        <v>6850</v>
      </c>
      <c r="C1117" s="13">
        <v>780</v>
      </c>
      <c r="D1117" s="8" t="s">
        <v>6851</v>
      </c>
      <c r="E1117" s="8" t="s">
        <v>6852</v>
      </c>
      <c r="F1117" s="8" t="s">
        <v>6853</v>
      </c>
      <c r="G1117" s="6" t="s">
        <v>37</v>
      </c>
      <c r="H1117" s="6" t="s">
        <v>38</v>
      </c>
      <c r="I1117" s="8" t="s">
        <v>6854</v>
      </c>
      <c r="J1117" s="9">
        <v>1</v>
      </c>
      <c r="K1117" s="9">
        <v>199</v>
      </c>
      <c r="L1117" s="9">
        <v>2022</v>
      </c>
      <c r="M1117" s="8" t="s">
        <v>6855</v>
      </c>
      <c r="N1117" s="8" t="s">
        <v>74</v>
      </c>
      <c r="O1117" s="8" t="s">
        <v>93</v>
      </c>
      <c r="P1117" s="6" t="s">
        <v>43</v>
      </c>
      <c r="Q1117" s="8" t="s">
        <v>44</v>
      </c>
      <c r="R1117" s="10" t="s">
        <v>1054</v>
      </c>
      <c r="S1117" s="11"/>
      <c r="T1117" s="6"/>
      <c r="U1117" s="28" t="str">
        <f>HYPERLINK("https://media.infra-m.ru/1862/1862661/cover/1862661.jpg", "Обложка")</f>
        <v>Обложка</v>
      </c>
      <c r="V1117" s="28" t="str">
        <f>HYPERLINK("https://znanium.ru/catalog/product/1862661", "Ознакомиться")</f>
        <v>Ознакомиться</v>
      </c>
      <c r="W1117" s="8" t="s">
        <v>355</v>
      </c>
      <c r="X1117" s="6"/>
      <c r="Y1117" s="6"/>
      <c r="Z1117" s="6"/>
      <c r="AA1117" s="6" t="s">
        <v>78</v>
      </c>
    </row>
    <row r="1118" spans="1:27" s="4" customFormat="1" ht="51.95" customHeight="1">
      <c r="A1118" s="5">
        <v>0</v>
      </c>
      <c r="B1118" s="6" t="s">
        <v>6856</v>
      </c>
      <c r="C1118" s="13">
        <v>530</v>
      </c>
      <c r="D1118" s="8" t="s">
        <v>6857</v>
      </c>
      <c r="E1118" s="8" t="s">
        <v>6858</v>
      </c>
      <c r="F1118" s="8" t="s">
        <v>6859</v>
      </c>
      <c r="G1118" s="6" t="s">
        <v>37</v>
      </c>
      <c r="H1118" s="6" t="s">
        <v>38</v>
      </c>
      <c r="I1118" s="8" t="s">
        <v>39</v>
      </c>
      <c r="J1118" s="9">
        <v>1</v>
      </c>
      <c r="K1118" s="9">
        <v>112</v>
      </c>
      <c r="L1118" s="9">
        <v>2023</v>
      </c>
      <c r="M1118" s="8" t="s">
        <v>6860</v>
      </c>
      <c r="N1118" s="8" t="s">
        <v>74</v>
      </c>
      <c r="O1118" s="8" t="s">
        <v>75</v>
      </c>
      <c r="P1118" s="6" t="s">
        <v>43</v>
      </c>
      <c r="Q1118" s="8" t="s">
        <v>44</v>
      </c>
      <c r="R1118" s="10" t="s">
        <v>6861</v>
      </c>
      <c r="S1118" s="11"/>
      <c r="T1118" s="6"/>
      <c r="U1118" s="28" t="str">
        <f>HYPERLINK("https://media.infra-m.ru/2017/2017322/cover/2017322.jpg", "Обложка")</f>
        <v>Обложка</v>
      </c>
      <c r="V1118" s="28" t="str">
        <f>HYPERLINK("https://znanium.ru/catalog/product/2017322", "Ознакомиться")</f>
        <v>Ознакомиться</v>
      </c>
      <c r="W1118" s="8" t="s">
        <v>2280</v>
      </c>
      <c r="X1118" s="6"/>
      <c r="Y1118" s="6"/>
      <c r="Z1118" s="6"/>
      <c r="AA1118" s="6" t="s">
        <v>68</v>
      </c>
    </row>
    <row r="1119" spans="1:27" s="4" customFormat="1" ht="51.95" customHeight="1">
      <c r="A1119" s="5">
        <v>0</v>
      </c>
      <c r="B1119" s="6" t="s">
        <v>6862</v>
      </c>
      <c r="C1119" s="7">
        <v>1310</v>
      </c>
      <c r="D1119" s="8" t="s">
        <v>6863</v>
      </c>
      <c r="E1119" s="8" t="s">
        <v>6864</v>
      </c>
      <c r="F1119" s="8" t="s">
        <v>6865</v>
      </c>
      <c r="G1119" s="6" t="s">
        <v>83</v>
      </c>
      <c r="H1119" s="6" t="s">
        <v>38</v>
      </c>
      <c r="I1119" s="8" t="s">
        <v>185</v>
      </c>
      <c r="J1119" s="9">
        <v>1</v>
      </c>
      <c r="K1119" s="9">
        <v>284</v>
      </c>
      <c r="L1119" s="9">
        <v>2024</v>
      </c>
      <c r="M1119" s="8" t="s">
        <v>6866</v>
      </c>
      <c r="N1119" s="8" t="s">
        <v>74</v>
      </c>
      <c r="O1119" s="8" t="s">
        <v>394</v>
      </c>
      <c r="P1119" s="6" t="s">
        <v>55</v>
      </c>
      <c r="Q1119" s="8" t="s">
        <v>187</v>
      </c>
      <c r="R1119" s="10" t="s">
        <v>6867</v>
      </c>
      <c r="S1119" s="11" t="s">
        <v>6868</v>
      </c>
      <c r="T1119" s="6"/>
      <c r="U1119" s="28" t="str">
        <f>HYPERLINK("https://media.infra-m.ru/2087/2087719/cover/2087719.jpg", "Обложка")</f>
        <v>Обложка</v>
      </c>
      <c r="V1119" s="28" t="str">
        <f>HYPERLINK("https://znanium.ru/catalog/product/2087719", "Ознакомиться")</f>
        <v>Ознакомиться</v>
      </c>
      <c r="W1119" s="8" t="s">
        <v>6869</v>
      </c>
      <c r="X1119" s="6"/>
      <c r="Y1119" s="6"/>
      <c r="Z1119" s="6"/>
      <c r="AA1119" s="6" t="s">
        <v>78</v>
      </c>
    </row>
    <row r="1120" spans="1:27" s="4" customFormat="1" ht="51.95" customHeight="1">
      <c r="A1120" s="5">
        <v>0</v>
      </c>
      <c r="B1120" s="6" t="s">
        <v>6870</v>
      </c>
      <c r="C1120" s="13">
        <v>560</v>
      </c>
      <c r="D1120" s="8" t="s">
        <v>6871</v>
      </c>
      <c r="E1120" s="8" t="s">
        <v>6872</v>
      </c>
      <c r="F1120" s="8" t="s">
        <v>6873</v>
      </c>
      <c r="G1120" s="6" t="s">
        <v>37</v>
      </c>
      <c r="H1120" s="6" t="s">
        <v>470</v>
      </c>
      <c r="I1120" s="8" t="s">
        <v>6874</v>
      </c>
      <c r="J1120" s="9">
        <v>1</v>
      </c>
      <c r="K1120" s="9">
        <v>179</v>
      </c>
      <c r="L1120" s="9">
        <v>2018</v>
      </c>
      <c r="M1120" s="8" t="s">
        <v>6875</v>
      </c>
      <c r="N1120" s="8" t="s">
        <v>74</v>
      </c>
      <c r="O1120" s="8" t="s">
        <v>93</v>
      </c>
      <c r="P1120" s="6" t="s">
        <v>43</v>
      </c>
      <c r="Q1120" s="8" t="s">
        <v>44</v>
      </c>
      <c r="R1120" s="10" t="s">
        <v>1042</v>
      </c>
      <c r="S1120" s="11"/>
      <c r="T1120" s="6"/>
      <c r="U1120" s="28" t="str">
        <f>HYPERLINK("https://media.infra-m.ru/0908/0908035/cover/908035.jpg", "Обложка")</f>
        <v>Обложка</v>
      </c>
      <c r="V1120" s="28" t="str">
        <f>HYPERLINK("https://znanium.ru/catalog/product/908035", "Ознакомиться")</f>
        <v>Ознакомиться</v>
      </c>
      <c r="W1120" s="8" t="s">
        <v>557</v>
      </c>
      <c r="X1120" s="6"/>
      <c r="Y1120" s="6"/>
      <c r="Z1120" s="6"/>
      <c r="AA1120" s="6" t="s">
        <v>68</v>
      </c>
    </row>
    <row r="1121" spans="1:27" s="4" customFormat="1" ht="51.95" customHeight="1">
      <c r="A1121" s="5">
        <v>0</v>
      </c>
      <c r="B1121" s="6" t="s">
        <v>6876</v>
      </c>
      <c r="C1121" s="13">
        <v>694.9</v>
      </c>
      <c r="D1121" s="8" t="s">
        <v>6877</v>
      </c>
      <c r="E1121" s="8" t="s">
        <v>6878</v>
      </c>
      <c r="F1121" s="8" t="s">
        <v>6879</v>
      </c>
      <c r="G1121" s="6" t="s">
        <v>37</v>
      </c>
      <c r="H1121" s="6" t="s">
        <v>470</v>
      </c>
      <c r="I1121" s="8"/>
      <c r="J1121" s="9">
        <v>1</v>
      </c>
      <c r="K1121" s="9">
        <v>256</v>
      </c>
      <c r="L1121" s="9">
        <v>2017</v>
      </c>
      <c r="M1121" s="8" t="s">
        <v>6880</v>
      </c>
      <c r="N1121" s="8" t="s">
        <v>41</v>
      </c>
      <c r="O1121" s="8" t="s">
        <v>54</v>
      </c>
      <c r="P1121" s="6" t="s">
        <v>55</v>
      </c>
      <c r="Q1121" s="8" t="s">
        <v>56</v>
      </c>
      <c r="R1121" s="10" t="s">
        <v>6881</v>
      </c>
      <c r="S1121" s="11"/>
      <c r="T1121" s="6"/>
      <c r="U1121" s="28" t="str">
        <f>HYPERLINK("https://media.infra-m.ru/0612/0612463/cover/612463.jpg", "Обложка")</f>
        <v>Обложка</v>
      </c>
      <c r="V1121" s="28" t="str">
        <f>HYPERLINK("https://znanium.ru/catalog/product/2020594", "Ознакомиться")</f>
        <v>Ознакомиться</v>
      </c>
      <c r="W1121" s="8" t="s">
        <v>6882</v>
      </c>
      <c r="X1121" s="6"/>
      <c r="Y1121" s="6"/>
      <c r="Z1121" s="6"/>
      <c r="AA1121" s="6" t="s">
        <v>381</v>
      </c>
    </row>
    <row r="1122" spans="1:27" s="4" customFormat="1" ht="42" customHeight="1">
      <c r="A1122" s="5">
        <v>0</v>
      </c>
      <c r="B1122" s="6" t="s">
        <v>6883</v>
      </c>
      <c r="C1122" s="13">
        <v>544</v>
      </c>
      <c r="D1122" s="8" t="s">
        <v>6884</v>
      </c>
      <c r="E1122" s="8" t="s">
        <v>6885</v>
      </c>
      <c r="F1122" s="8" t="s">
        <v>6886</v>
      </c>
      <c r="G1122" s="6" t="s">
        <v>37</v>
      </c>
      <c r="H1122" s="6" t="s">
        <v>38</v>
      </c>
      <c r="I1122" s="8" t="s">
        <v>325</v>
      </c>
      <c r="J1122" s="9">
        <v>1</v>
      </c>
      <c r="K1122" s="9">
        <v>119</v>
      </c>
      <c r="L1122" s="9">
        <v>2023</v>
      </c>
      <c r="M1122" s="8" t="s">
        <v>6887</v>
      </c>
      <c r="N1122" s="8" t="s">
        <v>74</v>
      </c>
      <c r="O1122" s="8" t="s">
        <v>93</v>
      </c>
      <c r="P1122" s="6" t="s">
        <v>43</v>
      </c>
      <c r="Q1122" s="8" t="s">
        <v>44</v>
      </c>
      <c r="R1122" s="10" t="s">
        <v>1710</v>
      </c>
      <c r="S1122" s="11"/>
      <c r="T1122" s="6"/>
      <c r="U1122" s="28" t="str">
        <f>HYPERLINK("https://media.infra-m.ru/2006/2006889/cover/2006889.jpg", "Обложка")</f>
        <v>Обложка</v>
      </c>
      <c r="V1122" s="12"/>
      <c r="W1122" s="8" t="s">
        <v>327</v>
      </c>
      <c r="X1122" s="6"/>
      <c r="Y1122" s="6"/>
      <c r="Z1122" s="6"/>
      <c r="AA1122" s="6" t="s">
        <v>68</v>
      </c>
    </row>
    <row r="1123" spans="1:27" s="4" customFormat="1" ht="51.95" customHeight="1">
      <c r="A1123" s="5">
        <v>0</v>
      </c>
      <c r="B1123" s="6" t="s">
        <v>6888</v>
      </c>
      <c r="C1123" s="7">
        <v>1834</v>
      </c>
      <c r="D1123" s="8" t="s">
        <v>6889</v>
      </c>
      <c r="E1123" s="8" t="s">
        <v>6890</v>
      </c>
      <c r="F1123" s="8" t="s">
        <v>6891</v>
      </c>
      <c r="G1123" s="6" t="s">
        <v>83</v>
      </c>
      <c r="H1123" s="6" t="s">
        <v>38</v>
      </c>
      <c r="I1123" s="8" t="s">
        <v>39</v>
      </c>
      <c r="J1123" s="9">
        <v>1</v>
      </c>
      <c r="K1123" s="9">
        <v>395</v>
      </c>
      <c r="L1123" s="9">
        <v>2024</v>
      </c>
      <c r="M1123" s="8" t="s">
        <v>6892</v>
      </c>
      <c r="N1123" s="8" t="s">
        <v>74</v>
      </c>
      <c r="O1123" s="8" t="s">
        <v>93</v>
      </c>
      <c r="P1123" s="6" t="s">
        <v>43</v>
      </c>
      <c r="Q1123" s="8" t="s">
        <v>44</v>
      </c>
      <c r="R1123" s="10" t="s">
        <v>6893</v>
      </c>
      <c r="S1123" s="11"/>
      <c r="T1123" s="6"/>
      <c r="U1123" s="28" t="str">
        <f>HYPERLINK("https://media.infra-m.ru/2126/2126855/cover/2126855.jpg", "Обложка")</f>
        <v>Обложка</v>
      </c>
      <c r="V1123" s="28" t="str">
        <f>HYPERLINK("https://znanium.ru/catalog/product/938069", "Ознакомиться")</f>
        <v>Ознакомиться</v>
      </c>
      <c r="W1123" s="8" t="s">
        <v>140</v>
      </c>
      <c r="X1123" s="6"/>
      <c r="Y1123" s="6"/>
      <c r="Z1123" s="6"/>
      <c r="AA1123" s="6" t="s">
        <v>381</v>
      </c>
    </row>
    <row r="1124" spans="1:27" s="4" customFormat="1" ht="51.95" customHeight="1">
      <c r="A1124" s="5">
        <v>0</v>
      </c>
      <c r="B1124" s="6" t="s">
        <v>6894</v>
      </c>
      <c r="C1124" s="13">
        <v>720</v>
      </c>
      <c r="D1124" s="8" t="s">
        <v>6895</v>
      </c>
      <c r="E1124" s="8" t="s">
        <v>6896</v>
      </c>
      <c r="F1124" s="8" t="s">
        <v>445</v>
      </c>
      <c r="G1124" s="6" t="s">
        <v>83</v>
      </c>
      <c r="H1124" s="6" t="s">
        <v>38</v>
      </c>
      <c r="I1124" s="8" t="s">
        <v>155</v>
      </c>
      <c r="J1124" s="9">
        <v>1</v>
      </c>
      <c r="K1124" s="9">
        <v>146</v>
      </c>
      <c r="L1124" s="9">
        <v>2024</v>
      </c>
      <c r="M1124" s="8" t="s">
        <v>6897</v>
      </c>
      <c r="N1124" s="8" t="s">
        <v>74</v>
      </c>
      <c r="O1124" s="8" t="s">
        <v>75</v>
      </c>
      <c r="P1124" s="6" t="s">
        <v>176</v>
      </c>
      <c r="Q1124" s="8" t="s">
        <v>56</v>
      </c>
      <c r="R1124" s="10" t="s">
        <v>6898</v>
      </c>
      <c r="S1124" s="11" t="s">
        <v>6899</v>
      </c>
      <c r="T1124" s="6"/>
      <c r="U1124" s="28" t="str">
        <f>HYPERLINK("https://media.infra-m.ru/2141/2141038/cover/2141038.jpg", "Обложка")</f>
        <v>Обложка</v>
      </c>
      <c r="V1124" s="28" t="str">
        <f>HYPERLINK("https://znanium.ru/catalog/product/2141038", "Ознакомиться")</f>
        <v>Ознакомиться</v>
      </c>
      <c r="W1124" s="8" t="s">
        <v>448</v>
      </c>
      <c r="X1124" s="6"/>
      <c r="Y1124" s="6"/>
      <c r="Z1124" s="6"/>
      <c r="AA1124" s="6" t="s">
        <v>103</v>
      </c>
    </row>
    <row r="1125" spans="1:27" s="4" customFormat="1" ht="42" customHeight="1">
      <c r="A1125" s="5">
        <v>0</v>
      </c>
      <c r="B1125" s="6" t="s">
        <v>6900</v>
      </c>
      <c r="C1125" s="13">
        <v>700</v>
      </c>
      <c r="D1125" s="8" t="s">
        <v>6901</v>
      </c>
      <c r="E1125" s="8" t="s">
        <v>6902</v>
      </c>
      <c r="F1125" s="8" t="s">
        <v>400</v>
      </c>
      <c r="G1125" s="6" t="s">
        <v>37</v>
      </c>
      <c r="H1125" s="6" t="s">
        <v>38</v>
      </c>
      <c r="I1125" s="8" t="s">
        <v>39</v>
      </c>
      <c r="J1125" s="9">
        <v>1</v>
      </c>
      <c r="K1125" s="9">
        <v>180</v>
      </c>
      <c r="L1125" s="9">
        <v>2021</v>
      </c>
      <c r="M1125" s="8" t="s">
        <v>6903</v>
      </c>
      <c r="N1125" s="8" t="s">
        <v>74</v>
      </c>
      <c r="O1125" s="8" t="s">
        <v>93</v>
      </c>
      <c r="P1125" s="6" t="s">
        <v>43</v>
      </c>
      <c r="Q1125" s="8" t="s">
        <v>44</v>
      </c>
      <c r="R1125" s="10" t="s">
        <v>225</v>
      </c>
      <c r="S1125" s="11"/>
      <c r="T1125" s="6"/>
      <c r="U1125" s="28" t="str">
        <f>HYPERLINK("https://media.infra-m.ru/1074/1074108/cover/1074108.jpg", "Обложка")</f>
        <v>Обложка</v>
      </c>
      <c r="V1125" s="28" t="str">
        <f>HYPERLINK("https://znanium.ru/catalog/product/1074108", "Ознакомиться")</f>
        <v>Ознакомиться</v>
      </c>
      <c r="W1125" s="8" t="s">
        <v>402</v>
      </c>
      <c r="X1125" s="6"/>
      <c r="Y1125" s="6"/>
      <c r="Z1125" s="6"/>
      <c r="AA1125" s="6" t="s">
        <v>193</v>
      </c>
    </row>
    <row r="1126" spans="1:27" s="4" customFormat="1" ht="42" customHeight="1">
      <c r="A1126" s="5">
        <v>0</v>
      </c>
      <c r="B1126" s="6" t="s">
        <v>6904</v>
      </c>
      <c r="C1126" s="13">
        <v>644.9</v>
      </c>
      <c r="D1126" s="8" t="s">
        <v>6905</v>
      </c>
      <c r="E1126" s="8" t="s">
        <v>6906</v>
      </c>
      <c r="F1126" s="8" t="s">
        <v>6907</v>
      </c>
      <c r="G1126" s="6" t="s">
        <v>123</v>
      </c>
      <c r="H1126" s="6" t="s">
        <v>317</v>
      </c>
      <c r="I1126" s="8" t="s">
        <v>164</v>
      </c>
      <c r="J1126" s="9">
        <v>1</v>
      </c>
      <c r="K1126" s="9">
        <v>200</v>
      </c>
      <c r="L1126" s="9">
        <v>2019</v>
      </c>
      <c r="M1126" s="8" t="s">
        <v>6908</v>
      </c>
      <c r="N1126" s="8" t="s">
        <v>41</v>
      </c>
      <c r="O1126" s="8" t="s">
        <v>42</v>
      </c>
      <c r="P1126" s="6" t="s">
        <v>55</v>
      </c>
      <c r="Q1126" s="8" t="s">
        <v>56</v>
      </c>
      <c r="R1126" s="10" t="s">
        <v>2083</v>
      </c>
      <c r="S1126" s="11"/>
      <c r="T1126" s="6"/>
      <c r="U1126" s="28" t="str">
        <f>HYPERLINK("https://media.infra-m.ru/1007/1007936/cover/1007936.jpg", "Обложка")</f>
        <v>Обложка</v>
      </c>
      <c r="V1126" s="28" t="str">
        <f>HYPERLINK("https://znanium.ru/catalog/product/1943514", "Ознакомиться")</f>
        <v>Ознакомиться</v>
      </c>
      <c r="W1126" s="8" t="s">
        <v>5995</v>
      </c>
      <c r="X1126" s="6"/>
      <c r="Y1126" s="6"/>
      <c r="Z1126" s="6"/>
      <c r="AA1126" s="6" t="s">
        <v>676</v>
      </c>
    </row>
    <row r="1127" spans="1:27" s="4" customFormat="1" ht="42" customHeight="1">
      <c r="A1127" s="5">
        <v>0</v>
      </c>
      <c r="B1127" s="6" t="s">
        <v>6909</v>
      </c>
      <c r="C1127" s="13">
        <v>874.9</v>
      </c>
      <c r="D1127" s="8" t="s">
        <v>6910</v>
      </c>
      <c r="E1127" s="8" t="s">
        <v>6911</v>
      </c>
      <c r="F1127" s="8" t="s">
        <v>6912</v>
      </c>
      <c r="G1127" s="6" t="s">
        <v>37</v>
      </c>
      <c r="H1127" s="6" t="s">
        <v>38</v>
      </c>
      <c r="I1127" s="8" t="s">
        <v>39</v>
      </c>
      <c r="J1127" s="9">
        <v>1</v>
      </c>
      <c r="K1127" s="9">
        <v>236</v>
      </c>
      <c r="L1127" s="9">
        <v>2021</v>
      </c>
      <c r="M1127" s="8" t="s">
        <v>6913</v>
      </c>
      <c r="N1127" s="8" t="s">
        <v>41</v>
      </c>
      <c r="O1127" s="8" t="s">
        <v>65</v>
      </c>
      <c r="P1127" s="6" t="s">
        <v>43</v>
      </c>
      <c r="Q1127" s="8" t="s">
        <v>44</v>
      </c>
      <c r="R1127" s="10" t="s">
        <v>6914</v>
      </c>
      <c r="S1127" s="11"/>
      <c r="T1127" s="6"/>
      <c r="U1127" s="28" t="str">
        <f>HYPERLINK("https://media.infra-m.ru/1235/1235901/cover/1235901.jpg", "Обложка")</f>
        <v>Обложка</v>
      </c>
      <c r="V1127" s="28" t="str">
        <f>HYPERLINK("https://znanium.ru/catalog/product/1235901", "Ознакомиться")</f>
        <v>Ознакомиться</v>
      </c>
      <c r="W1127" s="8" t="s">
        <v>1705</v>
      </c>
      <c r="X1127" s="6"/>
      <c r="Y1127" s="6"/>
      <c r="Z1127" s="6"/>
      <c r="AA1127" s="6" t="s">
        <v>59</v>
      </c>
    </row>
    <row r="1128" spans="1:27" s="4" customFormat="1" ht="51.95" customHeight="1">
      <c r="A1128" s="5">
        <v>0</v>
      </c>
      <c r="B1128" s="6" t="s">
        <v>6915</v>
      </c>
      <c r="C1128" s="7">
        <v>1070</v>
      </c>
      <c r="D1128" s="8" t="s">
        <v>6916</v>
      </c>
      <c r="E1128" s="8" t="s">
        <v>6917</v>
      </c>
      <c r="F1128" s="8" t="s">
        <v>1736</v>
      </c>
      <c r="G1128" s="6" t="s">
        <v>83</v>
      </c>
      <c r="H1128" s="6" t="s">
        <v>38</v>
      </c>
      <c r="I1128" s="8" t="s">
        <v>884</v>
      </c>
      <c r="J1128" s="9">
        <v>1</v>
      </c>
      <c r="K1128" s="9">
        <v>219</v>
      </c>
      <c r="L1128" s="9">
        <v>2024</v>
      </c>
      <c r="M1128" s="8" t="s">
        <v>6918</v>
      </c>
      <c r="N1128" s="8" t="s">
        <v>41</v>
      </c>
      <c r="O1128" s="8" t="s">
        <v>65</v>
      </c>
      <c r="P1128" s="6" t="s">
        <v>55</v>
      </c>
      <c r="Q1128" s="8" t="s">
        <v>594</v>
      </c>
      <c r="R1128" s="10" t="s">
        <v>6919</v>
      </c>
      <c r="S1128" s="11" t="s">
        <v>6920</v>
      </c>
      <c r="T1128" s="6" t="s">
        <v>190</v>
      </c>
      <c r="U1128" s="28" t="str">
        <f>HYPERLINK("https://media.infra-m.ru/2087/2087301/cover/2087301.jpg", "Обложка")</f>
        <v>Обложка</v>
      </c>
      <c r="V1128" s="28" t="str">
        <f>HYPERLINK("https://znanium.ru/catalog/product/2083813", "Ознакомиться")</f>
        <v>Ознакомиться</v>
      </c>
      <c r="W1128" s="8" t="s">
        <v>1740</v>
      </c>
      <c r="X1128" s="6"/>
      <c r="Y1128" s="6"/>
      <c r="Z1128" s="6"/>
      <c r="AA1128" s="6" t="s">
        <v>68</v>
      </c>
    </row>
    <row r="1129" spans="1:27" s="4" customFormat="1" ht="51.95" customHeight="1">
      <c r="A1129" s="5">
        <v>0</v>
      </c>
      <c r="B1129" s="6" t="s">
        <v>6921</v>
      </c>
      <c r="C1129" s="7">
        <v>1060</v>
      </c>
      <c r="D1129" s="8" t="s">
        <v>6922</v>
      </c>
      <c r="E1129" s="8" t="s">
        <v>6923</v>
      </c>
      <c r="F1129" s="8" t="s">
        <v>6924</v>
      </c>
      <c r="G1129" s="6" t="s">
        <v>83</v>
      </c>
      <c r="H1129" s="6" t="s">
        <v>1701</v>
      </c>
      <c r="I1129" s="8" t="s">
        <v>155</v>
      </c>
      <c r="J1129" s="9">
        <v>1</v>
      </c>
      <c r="K1129" s="9">
        <v>224</v>
      </c>
      <c r="L1129" s="9">
        <v>2024</v>
      </c>
      <c r="M1129" s="8" t="s">
        <v>6925</v>
      </c>
      <c r="N1129" s="8" t="s">
        <v>74</v>
      </c>
      <c r="O1129" s="8" t="s">
        <v>93</v>
      </c>
      <c r="P1129" s="6" t="s">
        <v>55</v>
      </c>
      <c r="Q1129" s="8" t="s">
        <v>56</v>
      </c>
      <c r="R1129" s="10" t="s">
        <v>6926</v>
      </c>
      <c r="S1129" s="11" t="s">
        <v>6927</v>
      </c>
      <c r="T1129" s="6"/>
      <c r="U1129" s="28" t="str">
        <f>HYPERLINK("https://media.infra-m.ru/2137/2137071/cover/2137071.jpg", "Обложка")</f>
        <v>Обложка</v>
      </c>
      <c r="V1129" s="28" t="str">
        <f>HYPERLINK("https://znanium.ru/catalog/product/2137071", "Ознакомиться")</f>
        <v>Ознакомиться</v>
      </c>
      <c r="W1129" s="8" t="s">
        <v>2740</v>
      </c>
      <c r="X1129" s="6"/>
      <c r="Y1129" s="6"/>
      <c r="Z1129" s="6"/>
      <c r="AA1129" s="6" t="s">
        <v>2895</v>
      </c>
    </row>
    <row r="1130" spans="1:27" s="4" customFormat="1" ht="51.95" customHeight="1">
      <c r="A1130" s="5">
        <v>0</v>
      </c>
      <c r="B1130" s="6" t="s">
        <v>6928</v>
      </c>
      <c r="C1130" s="7">
        <v>1274</v>
      </c>
      <c r="D1130" s="8" t="s">
        <v>6929</v>
      </c>
      <c r="E1130" s="8" t="s">
        <v>6923</v>
      </c>
      <c r="F1130" s="8" t="s">
        <v>6930</v>
      </c>
      <c r="G1130" s="6" t="s">
        <v>83</v>
      </c>
      <c r="H1130" s="6" t="s">
        <v>618</v>
      </c>
      <c r="I1130" s="8"/>
      <c r="J1130" s="9">
        <v>1</v>
      </c>
      <c r="K1130" s="9">
        <v>272</v>
      </c>
      <c r="L1130" s="9">
        <v>2024</v>
      </c>
      <c r="M1130" s="8" t="s">
        <v>6931</v>
      </c>
      <c r="N1130" s="8" t="s">
        <v>74</v>
      </c>
      <c r="O1130" s="8" t="s">
        <v>93</v>
      </c>
      <c r="P1130" s="6" t="s">
        <v>55</v>
      </c>
      <c r="Q1130" s="8" t="s">
        <v>56</v>
      </c>
      <c r="R1130" s="10" t="s">
        <v>6932</v>
      </c>
      <c r="S1130" s="11"/>
      <c r="T1130" s="6"/>
      <c r="U1130" s="28" t="str">
        <f>HYPERLINK("https://media.infra-m.ru/2142/2142331/cover/2142331.jpg", "Обложка")</f>
        <v>Обложка</v>
      </c>
      <c r="V1130" s="28" t="str">
        <f>HYPERLINK("https://znanium.ru/catalog/product/2142331", "Ознакомиться")</f>
        <v>Ознакомиться</v>
      </c>
      <c r="W1130" s="8" t="s">
        <v>1334</v>
      </c>
      <c r="X1130" s="6"/>
      <c r="Y1130" s="6"/>
      <c r="Z1130" s="6"/>
      <c r="AA1130" s="6" t="s">
        <v>290</v>
      </c>
    </row>
    <row r="1131" spans="1:27" s="4" customFormat="1" ht="51.95" customHeight="1">
      <c r="A1131" s="5">
        <v>0</v>
      </c>
      <c r="B1131" s="6" t="s">
        <v>6933</v>
      </c>
      <c r="C1131" s="7">
        <v>1450</v>
      </c>
      <c r="D1131" s="8" t="s">
        <v>6934</v>
      </c>
      <c r="E1131" s="8" t="s">
        <v>6935</v>
      </c>
      <c r="F1131" s="8" t="s">
        <v>4282</v>
      </c>
      <c r="G1131" s="6" t="s">
        <v>83</v>
      </c>
      <c r="H1131" s="6" t="s">
        <v>38</v>
      </c>
      <c r="I1131" s="8" t="s">
        <v>155</v>
      </c>
      <c r="J1131" s="9">
        <v>1</v>
      </c>
      <c r="K1131" s="9">
        <v>300</v>
      </c>
      <c r="L1131" s="9">
        <v>2024</v>
      </c>
      <c r="M1131" s="8" t="s">
        <v>6936</v>
      </c>
      <c r="N1131" s="8" t="s">
        <v>74</v>
      </c>
      <c r="O1131" s="8" t="s">
        <v>109</v>
      </c>
      <c r="P1131" s="6" t="s">
        <v>55</v>
      </c>
      <c r="Q1131" s="8" t="s">
        <v>56</v>
      </c>
      <c r="R1131" s="10" t="s">
        <v>5264</v>
      </c>
      <c r="S1131" s="11"/>
      <c r="T1131" s="6"/>
      <c r="U1131" s="28" t="str">
        <f>HYPERLINK("https://media.infra-m.ru/2138/2138525/cover/2138525.jpg", "Обложка")</f>
        <v>Обложка</v>
      </c>
      <c r="V1131" s="28" t="str">
        <f>HYPERLINK("https://znanium.ru/catalog/product/2138525", "Ознакомиться")</f>
        <v>Ознакомиться</v>
      </c>
      <c r="W1131" s="8" t="s">
        <v>441</v>
      </c>
      <c r="X1131" s="6"/>
      <c r="Y1131" s="6"/>
      <c r="Z1131" s="6"/>
      <c r="AA1131" s="6" t="s">
        <v>180</v>
      </c>
    </row>
    <row r="1132" spans="1:27" s="4" customFormat="1" ht="42" customHeight="1">
      <c r="A1132" s="5">
        <v>0</v>
      </c>
      <c r="B1132" s="6" t="s">
        <v>6937</v>
      </c>
      <c r="C1132" s="7">
        <v>1614</v>
      </c>
      <c r="D1132" s="8" t="s">
        <v>6938</v>
      </c>
      <c r="E1132" s="8" t="s">
        <v>6939</v>
      </c>
      <c r="F1132" s="8" t="s">
        <v>6940</v>
      </c>
      <c r="G1132" s="6" t="s">
        <v>123</v>
      </c>
      <c r="H1132" s="6" t="s">
        <v>52</v>
      </c>
      <c r="I1132" s="8" t="s">
        <v>164</v>
      </c>
      <c r="J1132" s="9">
        <v>1</v>
      </c>
      <c r="K1132" s="9">
        <v>352</v>
      </c>
      <c r="L1132" s="9">
        <v>2024</v>
      </c>
      <c r="M1132" s="8" t="s">
        <v>6941</v>
      </c>
      <c r="N1132" s="8" t="s">
        <v>41</v>
      </c>
      <c r="O1132" s="8" t="s">
        <v>65</v>
      </c>
      <c r="P1132" s="6" t="s">
        <v>55</v>
      </c>
      <c r="Q1132" s="8" t="s">
        <v>56</v>
      </c>
      <c r="R1132" s="10" t="s">
        <v>5014</v>
      </c>
      <c r="S1132" s="11"/>
      <c r="T1132" s="6"/>
      <c r="U1132" s="28" t="str">
        <f>HYPERLINK("https://media.infra-m.ru/2104/2104873/cover/2104873.jpg", "Обложка")</f>
        <v>Обложка</v>
      </c>
      <c r="V1132" s="12"/>
      <c r="W1132" s="8" t="s">
        <v>6942</v>
      </c>
      <c r="X1132" s="6"/>
      <c r="Y1132" s="6"/>
      <c r="Z1132" s="6"/>
      <c r="AA1132" s="6" t="s">
        <v>59</v>
      </c>
    </row>
    <row r="1133" spans="1:27" s="4" customFormat="1" ht="51.95" customHeight="1">
      <c r="A1133" s="5">
        <v>0</v>
      </c>
      <c r="B1133" s="6" t="s">
        <v>6943</v>
      </c>
      <c r="C1133" s="13">
        <v>904</v>
      </c>
      <c r="D1133" s="8" t="s">
        <v>6944</v>
      </c>
      <c r="E1133" s="8" t="s">
        <v>6945</v>
      </c>
      <c r="F1133" s="8" t="s">
        <v>6946</v>
      </c>
      <c r="G1133" s="6" t="s">
        <v>123</v>
      </c>
      <c r="H1133" s="6" t="s">
        <v>38</v>
      </c>
      <c r="I1133" s="8" t="s">
        <v>164</v>
      </c>
      <c r="J1133" s="9">
        <v>1</v>
      </c>
      <c r="K1133" s="9">
        <v>192</v>
      </c>
      <c r="L1133" s="9">
        <v>2024</v>
      </c>
      <c r="M1133" s="8" t="s">
        <v>6947</v>
      </c>
      <c r="N1133" s="8" t="s">
        <v>74</v>
      </c>
      <c r="O1133" s="8" t="s">
        <v>109</v>
      </c>
      <c r="P1133" s="6" t="s">
        <v>55</v>
      </c>
      <c r="Q1133" s="8" t="s">
        <v>56</v>
      </c>
      <c r="R1133" s="10" t="s">
        <v>6948</v>
      </c>
      <c r="S1133" s="11" t="s">
        <v>6949</v>
      </c>
      <c r="T1133" s="6"/>
      <c r="U1133" s="28" t="str">
        <f>HYPERLINK("https://media.infra-m.ru/2133/2133128/cover/2133128.jpg", "Обложка")</f>
        <v>Обложка</v>
      </c>
      <c r="V1133" s="28" t="str">
        <f>HYPERLINK("https://znanium.ru/catalog/product/1497870", "Ознакомиться")</f>
        <v>Ознакомиться</v>
      </c>
      <c r="W1133" s="8" t="s">
        <v>77</v>
      </c>
      <c r="X1133" s="6"/>
      <c r="Y1133" s="6"/>
      <c r="Z1133" s="6"/>
      <c r="AA1133" s="6" t="s">
        <v>290</v>
      </c>
    </row>
    <row r="1134" spans="1:27" s="4" customFormat="1" ht="51.95" customHeight="1">
      <c r="A1134" s="5">
        <v>0</v>
      </c>
      <c r="B1134" s="6" t="s">
        <v>6950</v>
      </c>
      <c r="C1134" s="13">
        <v>694</v>
      </c>
      <c r="D1134" s="8" t="s">
        <v>6951</v>
      </c>
      <c r="E1134" s="8" t="s">
        <v>6952</v>
      </c>
      <c r="F1134" s="8" t="s">
        <v>6953</v>
      </c>
      <c r="G1134" s="6" t="s">
        <v>123</v>
      </c>
      <c r="H1134" s="6" t="s">
        <v>38</v>
      </c>
      <c r="I1134" s="8" t="s">
        <v>5978</v>
      </c>
      <c r="J1134" s="9">
        <v>1</v>
      </c>
      <c r="K1134" s="9">
        <v>150</v>
      </c>
      <c r="L1134" s="9">
        <v>2024</v>
      </c>
      <c r="M1134" s="8" t="s">
        <v>6954</v>
      </c>
      <c r="N1134" s="8" t="s">
        <v>41</v>
      </c>
      <c r="O1134" s="8" t="s">
        <v>54</v>
      </c>
      <c r="P1134" s="6" t="s">
        <v>55</v>
      </c>
      <c r="Q1134" s="8" t="s">
        <v>56</v>
      </c>
      <c r="R1134" s="10" t="s">
        <v>6955</v>
      </c>
      <c r="S1134" s="11" t="s">
        <v>6956</v>
      </c>
      <c r="T1134" s="6"/>
      <c r="U1134" s="28" t="str">
        <f>HYPERLINK("https://media.infra-m.ru/2107/2107423/cover/2107423.jpg", "Обложка")</f>
        <v>Обложка</v>
      </c>
      <c r="V1134" s="12"/>
      <c r="W1134" s="8" t="s">
        <v>327</v>
      </c>
      <c r="X1134" s="6"/>
      <c r="Y1134" s="6"/>
      <c r="Z1134" s="6"/>
      <c r="AA1134" s="6" t="s">
        <v>68</v>
      </c>
    </row>
    <row r="1135" spans="1:27" s="4" customFormat="1" ht="51.95" customHeight="1">
      <c r="A1135" s="5">
        <v>0</v>
      </c>
      <c r="B1135" s="6" t="s">
        <v>6957</v>
      </c>
      <c r="C1135" s="7">
        <v>1280</v>
      </c>
      <c r="D1135" s="8" t="s">
        <v>6958</v>
      </c>
      <c r="E1135" s="8" t="s">
        <v>6959</v>
      </c>
      <c r="F1135" s="8" t="s">
        <v>5778</v>
      </c>
      <c r="G1135" s="6" t="s">
        <v>123</v>
      </c>
      <c r="H1135" s="6" t="s">
        <v>38</v>
      </c>
      <c r="I1135" s="8" t="s">
        <v>6960</v>
      </c>
      <c r="J1135" s="9">
        <v>1</v>
      </c>
      <c r="K1135" s="9">
        <v>270</v>
      </c>
      <c r="L1135" s="9">
        <v>2024</v>
      </c>
      <c r="M1135" s="8" t="s">
        <v>6961</v>
      </c>
      <c r="N1135" s="8" t="s">
        <v>74</v>
      </c>
      <c r="O1135" s="8" t="s">
        <v>394</v>
      </c>
      <c r="P1135" s="6" t="s">
        <v>55</v>
      </c>
      <c r="Q1135" s="8" t="s">
        <v>177</v>
      </c>
      <c r="R1135" s="10" t="s">
        <v>5788</v>
      </c>
      <c r="S1135" s="11" t="s">
        <v>6962</v>
      </c>
      <c r="T1135" s="6"/>
      <c r="U1135" s="28" t="str">
        <f>HYPERLINK("https://media.infra-m.ru/2124/2124347/cover/2124347.jpg", "Обложка")</f>
        <v>Обложка</v>
      </c>
      <c r="V1135" s="28" t="str">
        <f>HYPERLINK("https://znanium.ru/catalog/product/2124347", "Ознакомиться")</f>
        <v>Ознакомиться</v>
      </c>
      <c r="W1135" s="8" t="s">
        <v>4803</v>
      </c>
      <c r="X1135" s="6" t="s">
        <v>179</v>
      </c>
      <c r="Y1135" s="6"/>
      <c r="Z1135" s="6"/>
      <c r="AA1135" s="6" t="s">
        <v>180</v>
      </c>
    </row>
    <row r="1136" spans="1:27" s="4" customFormat="1" ht="51.95" customHeight="1">
      <c r="A1136" s="5">
        <v>0</v>
      </c>
      <c r="B1136" s="6" t="s">
        <v>6963</v>
      </c>
      <c r="C1136" s="13">
        <v>850</v>
      </c>
      <c r="D1136" s="8" t="s">
        <v>6964</v>
      </c>
      <c r="E1136" s="8" t="s">
        <v>6965</v>
      </c>
      <c r="F1136" s="8" t="s">
        <v>6966</v>
      </c>
      <c r="G1136" s="6" t="s">
        <v>83</v>
      </c>
      <c r="H1136" s="6" t="s">
        <v>38</v>
      </c>
      <c r="I1136" s="8" t="s">
        <v>39</v>
      </c>
      <c r="J1136" s="9">
        <v>1</v>
      </c>
      <c r="K1136" s="9">
        <v>188</v>
      </c>
      <c r="L1136" s="9">
        <v>2018</v>
      </c>
      <c r="M1136" s="8" t="s">
        <v>6967</v>
      </c>
      <c r="N1136" s="8" t="s">
        <v>41</v>
      </c>
      <c r="O1136" s="8" t="s">
        <v>65</v>
      </c>
      <c r="P1136" s="6" t="s">
        <v>43</v>
      </c>
      <c r="Q1136" s="8" t="s">
        <v>44</v>
      </c>
      <c r="R1136" s="10" t="s">
        <v>6968</v>
      </c>
      <c r="S1136" s="11"/>
      <c r="T1136" s="6"/>
      <c r="U1136" s="28" t="str">
        <f>HYPERLINK("https://media.infra-m.ru/1953/1953611/cover/1953611.jpg", "Обложка")</f>
        <v>Обложка</v>
      </c>
      <c r="V1136" s="28" t="str">
        <f>HYPERLINK("https://znanium.ru/catalog/product/918477", "Ознакомиться")</f>
        <v>Ознакомиться</v>
      </c>
      <c r="W1136" s="8" t="s">
        <v>423</v>
      </c>
      <c r="X1136" s="6"/>
      <c r="Y1136" s="6"/>
      <c r="Z1136" s="6"/>
      <c r="AA1136" s="6" t="s">
        <v>306</v>
      </c>
    </row>
    <row r="1137" spans="1:27" s="4" customFormat="1" ht="42" customHeight="1">
      <c r="A1137" s="5">
        <v>0</v>
      </c>
      <c r="B1137" s="6" t="s">
        <v>6969</v>
      </c>
      <c r="C1137" s="13">
        <v>870</v>
      </c>
      <c r="D1137" s="8" t="s">
        <v>6970</v>
      </c>
      <c r="E1137" s="8" t="s">
        <v>6971</v>
      </c>
      <c r="F1137" s="8" t="s">
        <v>400</v>
      </c>
      <c r="G1137" s="6" t="s">
        <v>37</v>
      </c>
      <c r="H1137" s="6" t="s">
        <v>38</v>
      </c>
      <c r="I1137" s="8" t="s">
        <v>39</v>
      </c>
      <c r="J1137" s="9">
        <v>1</v>
      </c>
      <c r="K1137" s="9">
        <v>228</v>
      </c>
      <c r="L1137" s="9">
        <v>2021</v>
      </c>
      <c r="M1137" s="8" t="s">
        <v>6972</v>
      </c>
      <c r="N1137" s="8" t="s">
        <v>74</v>
      </c>
      <c r="O1137" s="8" t="s">
        <v>93</v>
      </c>
      <c r="P1137" s="6" t="s">
        <v>43</v>
      </c>
      <c r="Q1137" s="8" t="s">
        <v>44</v>
      </c>
      <c r="R1137" s="10" t="s">
        <v>225</v>
      </c>
      <c r="S1137" s="11"/>
      <c r="T1137" s="6"/>
      <c r="U1137" s="28" t="str">
        <f>HYPERLINK("https://media.infra-m.ru/1088/1088340/cover/1088340.jpg", "Обложка")</f>
        <v>Обложка</v>
      </c>
      <c r="V1137" s="28" t="str">
        <f>HYPERLINK("https://znanium.ru/catalog/product/1088340", "Ознакомиться")</f>
        <v>Ознакомиться</v>
      </c>
      <c r="W1137" s="8" t="s">
        <v>402</v>
      </c>
      <c r="X1137" s="6"/>
      <c r="Y1137" s="6"/>
      <c r="Z1137" s="6"/>
      <c r="AA1137" s="6" t="s">
        <v>193</v>
      </c>
    </row>
    <row r="1138" spans="1:27" s="4" customFormat="1" ht="51.95" customHeight="1">
      <c r="A1138" s="5">
        <v>0</v>
      </c>
      <c r="B1138" s="6" t="s">
        <v>6973</v>
      </c>
      <c r="C1138" s="7">
        <v>1955</v>
      </c>
      <c r="D1138" s="8" t="s">
        <v>6974</v>
      </c>
      <c r="E1138" s="8" t="s">
        <v>6975</v>
      </c>
      <c r="F1138" s="8" t="s">
        <v>6976</v>
      </c>
      <c r="G1138" s="6" t="s">
        <v>123</v>
      </c>
      <c r="H1138" s="6" t="s">
        <v>38</v>
      </c>
      <c r="I1138" s="8"/>
      <c r="J1138" s="9">
        <v>1</v>
      </c>
      <c r="K1138" s="9">
        <v>609</v>
      </c>
      <c r="L1138" s="9">
        <v>2023</v>
      </c>
      <c r="M1138" s="8" t="s">
        <v>6977</v>
      </c>
      <c r="N1138" s="8" t="s">
        <v>41</v>
      </c>
      <c r="O1138" s="8" t="s">
        <v>65</v>
      </c>
      <c r="P1138" s="6" t="s">
        <v>43</v>
      </c>
      <c r="Q1138" s="8" t="s">
        <v>44</v>
      </c>
      <c r="R1138" s="10" t="s">
        <v>6978</v>
      </c>
      <c r="S1138" s="11"/>
      <c r="T1138" s="6"/>
      <c r="U1138" s="28" t="str">
        <f>HYPERLINK("https://media.infra-m.ru/1922/1922246/cover/1922246.jpg", "Обложка")</f>
        <v>Обложка</v>
      </c>
      <c r="V1138" s="28" t="str">
        <f>HYPERLINK("https://znanium.ru/catalog/product/1247123", "Ознакомиться")</f>
        <v>Ознакомиться</v>
      </c>
      <c r="W1138" s="8" t="s">
        <v>297</v>
      </c>
      <c r="X1138" s="6"/>
      <c r="Y1138" s="6"/>
      <c r="Z1138" s="6"/>
      <c r="AA1138" s="6" t="s">
        <v>68</v>
      </c>
    </row>
    <row r="1139" spans="1:27" s="4" customFormat="1" ht="44.1" customHeight="1">
      <c r="A1139" s="5">
        <v>0</v>
      </c>
      <c r="B1139" s="6" t="s">
        <v>6979</v>
      </c>
      <c r="C1139" s="13">
        <v>484.9</v>
      </c>
      <c r="D1139" s="8" t="s">
        <v>6980</v>
      </c>
      <c r="E1139" s="8" t="s">
        <v>6981</v>
      </c>
      <c r="F1139" s="8" t="s">
        <v>6260</v>
      </c>
      <c r="G1139" s="6" t="s">
        <v>37</v>
      </c>
      <c r="H1139" s="6" t="s">
        <v>38</v>
      </c>
      <c r="I1139" s="8" t="s">
        <v>39</v>
      </c>
      <c r="J1139" s="9">
        <v>1</v>
      </c>
      <c r="K1139" s="9">
        <v>91</v>
      </c>
      <c r="L1139" s="9">
        <v>2018</v>
      </c>
      <c r="M1139" s="8" t="s">
        <v>6982</v>
      </c>
      <c r="N1139" s="8" t="s">
        <v>41</v>
      </c>
      <c r="O1139" s="8" t="s">
        <v>65</v>
      </c>
      <c r="P1139" s="6" t="s">
        <v>43</v>
      </c>
      <c r="Q1139" s="8" t="s">
        <v>44</v>
      </c>
      <c r="R1139" s="10" t="s">
        <v>6983</v>
      </c>
      <c r="S1139" s="11"/>
      <c r="T1139" s="6"/>
      <c r="U1139" s="28" t="str">
        <f>HYPERLINK("https://media.infra-m.ru/0937/0937973/cover/937973.jpg", "Обложка")</f>
        <v>Обложка</v>
      </c>
      <c r="V1139" s="28" t="str">
        <f>HYPERLINK("https://znanium.ru/catalog/product/937973", "Ознакомиться")</f>
        <v>Ознакомиться</v>
      </c>
      <c r="W1139" s="8" t="s">
        <v>1056</v>
      </c>
      <c r="X1139" s="6"/>
      <c r="Y1139" s="6"/>
      <c r="Z1139" s="6"/>
      <c r="AA1139" s="6" t="s">
        <v>381</v>
      </c>
    </row>
    <row r="1140" spans="1:27" s="4" customFormat="1" ht="42" customHeight="1">
      <c r="A1140" s="5">
        <v>0</v>
      </c>
      <c r="B1140" s="6" t="s">
        <v>6984</v>
      </c>
      <c r="C1140" s="7">
        <v>1180</v>
      </c>
      <c r="D1140" s="8" t="s">
        <v>6985</v>
      </c>
      <c r="E1140" s="8" t="s">
        <v>6986</v>
      </c>
      <c r="F1140" s="8" t="s">
        <v>6987</v>
      </c>
      <c r="G1140" s="6" t="s">
        <v>123</v>
      </c>
      <c r="H1140" s="6" t="s">
        <v>38</v>
      </c>
      <c r="I1140" s="8" t="s">
        <v>39</v>
      </c>
      <c r="J1140" s="9">
        <v>1</v>
      </c>
      <c r="K1140" s="9">
        <v>241</v>
      </c>
      <c r="L1140" s="9">
        <v>2024</v>
      </c>
      <c r="M1140" s="8" t="s">
        <v>6988</v>
      </c>
      <c r="N1140" s="8" t="s">
        <v>41</v>
      </c>
      <c r="O1140" s="8" t="s">
        <v>65</v>
      </c>
      <c r="P1140" s="6" t="s">
        <v>43</v>
      </c>
      <c r="Q1140" s="8" t="s">
        <v>44</v>
      </c>
      <c r="R1140" s="10" t="s">
        <v>5464</v>
      </c>
      <c r="S1140" s="11"/>
      <c r="T1140" s="6"/>
      <c r="U1140" s="28" t="str">
        <f>HYPERLINK("https://media.infra-m.ru/2119/2119965/cover/2119965.jpg", "Обложка")</f>
        <v>Обложка</v>
      </c>
      <c r="V1140" s="28" t="str">
        <f>HYPERLINK("https://znanium.ru/catalog/product/2119965", "Ознакомиться")</f>
        <v>Ознакомиться</v>
      </c>
      <c r="W1140" s="8" t="s">
        <v>341</v>
      </c>
      <c r="X1140" s="6" t="s">
        <v>734</v>
      </c>
      <c r="Y1140" s="6"/>
      <c r="Z1140" s="6"/>
      <c r="AA1140" s="6" t="s">
        <v>180</v>
      </c>
    </row>
    <row r="1141" spans="1:27" s="4" customFormat="1" ht="51.95" customHeight="1">
      <c r="A1141" s="5">
        <v>0</v>
      </c>
      <c r="B1141" s="6" t="s">
        <v>6989</v>
      </c>
      <c r="C1141" s="13">
        <v>564.9</v>
      </c>
      <c r="D1141" s="8" t="s">
        <v>6990</v>
      </c>
      <c r="E1141" s="8" t="s">
        <v>6991</v>
      </c>
      <c r="F1141" s="8" t="s">
        <v>6992</v>
      </c>
      <c r="G1141" s="6" t="s">
        <v>37</v>
      </c>
      <c r="H1141" s="6" t="s">
        <v>38</v>
      </c>
      <c r="I1141" s="8" t="s">
        <v>39</v>
      </c>
      <c r="J1141" s="9">
        <v>1</v>
      </c>
      <c r="K1141" s="9">
        <v>126</v>
      </c>
      <c r="L1141" s="9">
        <v>2023</v>
      </c>
      <c r="M1141" s="8" t="s">
        <v>6993</v>
      </c>
      <c r="N1141" s="8" t="s">
        <v>74</v>
      </c>
      <c r="O1141" s="8" t="s">
        <v>75</v>
      </c>
      <c r="P1141" s="6" t="s">
        <v>43</v>
      </c>
      <c r="Q1141" s="8" t="s">
        <v>44</v>
      </c>
      <c r="R1141" s="10" t="s">
        <v>6994</v>
      </c>
      <c r="S1141" s="11"/>
      <c r="T1141" s="6"/>
      <c r="U1141" s="28" t="str">
        <f>HYPERLINK("https://media.infra-m.ru/2002/2002598/cover/2002598.jpg", "Обложка")</f>
        <v>Обложка</v>
      </c>
      <c r="V1141" s="28" t="str">
        <f>HYPERLINK("https://znanium.ru/catalog/product/1003012", "Ознакомиться")</f>
        <v>Ознакомиться</v>
      </c>
      <c r="W1141" s="8" t="s">
        <v>355</v>
      </c>
      <c r="X1141" s="6"/>
      <c r="Y1141" s="6"/>
      <c r="Z1141" s="6"/>
      <c r="AA1141" s="6" t="s">
        <v>650</v>
      </c>
    </row>
    <row r="1142" spans="1:27" s="4" customFormat="1" ht="42" customHeight="1">
      <c r="A1142" s="5">
        <v>0</v>
      </c>
      <c r="B1142" s="6" t="s">
        <v>6995</v>
      </c>
      <c r="C1142" s="13">
        <v>490</v>
      </c>
      <c r="D1142" s="8" t="s">
        <v>6996</v>
      </c>
      <c r="E1142" s="8" t="s">
        <v>6997</v>
      </c>
      <c r="F1142" s="8" t="s">
        <v>6998</v>
      </c>
      <c r="G1142" s="6" t="s">
        <v>37</v>
      </c>
      <c r="H1142" s="6" t="s">
        <v>38</v>
      </c>
      <c r="I1142" s="8" t="s">
        <v>39</v>
      </c>
      <c r="J1142" s="9">
        <v>1</v>
      </c>
      <c r="K1142" s="9">
        <v>144</v>
      </c>
      <c r="L1142" s="9">
        <v>2020</v>
      </c>
      <c r="M1142" s="8" t="s">
        <v>6999</v>
      </c>
      <c r="N1142" s="8" t="s">
        <v>74</v>
      </c>
      <c r="O1142" s="8" t="s">
        <v>75</v>
      </c>
      <c r="P1142" s="6" t="s">
        <v>43</v>
      </c>
      <c r="Q1142" s="8" t="s">
        <v>44</v>
      </c>
      <c r="R1142" s="10" t="s">
        <v>3504</v>
      </c>
      <c r="S1142" s="11"/>
      <c r="T1142" s="6"/>
      <c r="U1142" s="28" t="str">
        <f>HYPERLINK("https://media.infra-m.ru/1036/1036520/cover/1036520.jpg", "Обложка")</f>
        <v>Обложка</v>
      </c>
      <c r="V1142" s="28" t="str">
        <f>HYPERLINK("https://znanium.ru/catalog/product/1036520", "Ознакомиться")</f>
        <v>Ознакомиться</v>
      </c>
      <c r="W1142" s="8" t="s">
        <v>159</v>
      </c>
      <c r="X1142" s="6"/>
      <c r="Y1142" s="6"/>
      <c r="Z1142" s="6"/>
      <c r="AA1142" s="6" t="s">
        <v>47</v>
      </c>
    </row>
    <row r="1143" spans="1:27" s="4" customFormat="1" ht="51.95" customHeight="1">
      <c r="A1143" s="5">
        <v>0</v>
      </c>
      <c r="B1143" s="6" t="s">
        <v>7000</v>
      </c>
      <c r="C1143" s="13">
        <v>944.9</v>
      </c>
      <c r="D1143" s="8" t="s">
        <v>7001</v>
      </c>
      <c r="E1143" s="8" t="s">
        <v>7002</v>
      </c>
      <c r="F1143" s="8" t="s">
        <v>7003</v>
      </c>
      <c r="G1143" s="6" t="s">
        <v>123</v>
      </c>
      <c r="H1143" s="6" t="s">
        <v>52</v>
      </c>
      <c r="I1143" s="8"/>
      <c r="J1143" s="9">
        <v>1</v>
      </c>
      <c r="K1143" s="9">
        <v>400</v>
      </c>
      <c r="L1143" s="9">
        <v>2017</v>
      </c>
      <c r="M1143" s="8" t="s">
        <v>7004</v>
      </c>
      <c r="N1143" s="8" t="s">
        <v>41</v>
      </c>
      <c r="O1143" s="8" t="s">
        <v>65</v>
      </c>
      <c r="P1143" s="6" t="s">
        <v>1300</v>
      </c>
      <c r="Q1143" s="8" t="s">
        <v>44</v>
      </c>
      <c r="R1143" s="10" t="s">
        <v>7005</v>
      </c>
      <c r="S1143" s="11"/>
      <c r="T1143" s="6"/>
      <c r="U1143" s="12"/>
      <c r="V1143" s="12"/>
      <c r="W1143" s="8" t="s">
        <v>4470</v>
      </c>
      <c r="X1143" s="6"/>
      <c r="Y1143" s="6"/>
      <c r="Z1143" s="6"/>
      <c r="AA1143" s="6" t="s">
        <v>47</v>
      </c>
    </row>
    <row r="1144" spans="1:27" s="4" customFormat="1" ht="51.95" customHeight="1">
      <c r="A1144" s="5">
        <v>0</v>
      </c>
      <c r="B1144" s="6" t="s">
        <v>7006</v>
      </c>
      <c r="C1144" s="7">
        <v>1390</v>
      </c>
      <c r="D1144" s="8" t="s">
        <v>7007</v>
      </c>
      <c r="E1144" s="8" t="s">
        <v>7008</v>
      </c>
      <c r="F1144" s="8" t="s">
        <v>7009</v>
      </c>
      <c r="G1144" s="6" t="s">
        <v>83</v>
      </c>
      <c r="H1144" s="6" t="s">
        <v>38</v>
      </c>
      <c r="I1144" s="8" t="s">
        <v>205</v>
      </c>
      <c r="J1144" s="9">
        <v>1</v>
      </c>
      <c r="K1144" s="9">
        <v>295</v>
      </c>
      <c r="L1144" s="9">
        <v>2024</v>
      </c>
      <c r="M1144" s="8" t="s">
        <v>7010</v>
      </c>
      <c r="N1144" s="8" t="s">
        <v>74</v>
      </c>
      <c r="O1144" s="8" t="s">
        <v>394</v>
      </c>
      <c r="P1144" s="6" t="s">
        <v>55</v>
      </c>
      <c r="Q1144" s="8" t="s">
        <v>207</v>
      </c>
      <c r="R1144" s="10" t="s">
        <v>7011</v>
      </c>
      <c r="S1144" s="11" t="s">
        <v>7012</v>
      </c>
      <c r="T1144" s="6" t="s">
        <v>190</v>
      </c>
      <c r="U1144" s="28" t="str">
        <f>HYPERLINK("https://media.infra-m.ru/2139/2139080/cover/2139080.jpg", "Обложка")</f>
        <v>Обложка</v>
      </c>
      <c r="V1144" s="28" t="str">
        <f>HYPERLINK("https://znanium.ru/catalog/product/2139080", "Ознакомиться")</f>
        <v>Ознакомиться</v>
      </c>
      <c r="W1144" s="8" t="s">
        <v>273</v>
      </c>
      <c r="X1144" s="6"/>
      <c r="Y1144" s="6"/>
      <c r="Z1144" s="6"/>
      <c r="AA1144" s="6" t="s">
        <v>768</v>
      </c>
    </row>
    <row r="1145" spans="1:27" s="4" customFormat="1" ht="42" customHeight="1">
      <c r="A1145" s="5">
        <v>0</v>
      </c>
      <c r="B1145" s="6" t="s">
        <v>7013</v>
      </c>
      <c r="C1145" s="7">
        <v>1764.9</v>
      </c>
      <c r="D1145" s="8" t="s">
        <v>7014</v>
      </c>
      <c r="E1145" s="8" t="s">
        <v>7015</v>
      </c>
      <c r="F1145" s="8" t="s">
        <v>7016</v>
      </c>
      <c r="G1145" s="6" t="s">
        <v>123</v>
      </c>
      <c r="H1145" s="6" t="s">
        <v>38</v>
      </c>
      <c r="I1145" s="8" t="s">
        <v>164</v>
      </c>
      <c r="J1145" s="9">
        <v>1</v>
      </c>
      <c r="K1145" s="9">
        <v>378</v>
      </c>
      <c r="L1145" s="9">
        <v>2022</v>
      </c>
      <c r="M1145" s="8" t="s">
        <v>7017</v>
      </c>
      <c r="N1145" s="8" t="s">
        <v>41</v>
      </c>
      <c r="O1145" s="8" t="s">
        <v>65</v>
      </c>
      <c r="P1145" s="6" t="s">
        <v>176</v>
      </c>
      <c r="Q1145" s="8" t="s">
        <v>56</v>
      </c>
      <c r="R1145" s="10" t="s">
        <v>2445</v>
      </c>
      <c r="S1145" s="11"/>
      <c r="T1145" s="6"/>
      <c r="U1145" s="28" t="str">
        <f>HYPERLINK("https://media.infra-m.ru/1911/1911511/cover/1911511.jpg", "Обложка")</f>
        <v>Обложка</v>
      </c>
      <c r="V1145" s="28" t="str">
        <f>HYPERLINK("https://znanium.ru/catalog/product/1840854", "Ознакомиться")</f>
        <v>Ознакомиться</v>
      </c>
      <c r="W1145" s="8" t="s">
        <v>7018</v>
      </c>
      <c r="X1145" s="6"/>
      <c r="Y1145" s="6"/>
      <c r="Z1145" s="6"/>
      <c r="AA1145" s="6" t="s">
        <v>103</v>
      </c>
    </row>
    <row r="1146" spans="1:27" s="4" customFormat="1" ht="51.95" customHeight="1">
      <c r="A1146" s="5">
        <v>0</v>
      </c>
      <c r="B1146" s="6" t="s">
        <v>7019</v>
      </c>
      <c r="C1146" s="13">
        <v>960</v>
      </c>
      <c r="D1146" s="8" t="s">
        <v>7020</v>
      </c>
      <c r="E1146" s="8" t="s">
        <v>7021</v>
      </c>
      <c r="F1146" s="8" t="s">
        <v>7022</v>
      </c>
      <c r="G1146" s="6" t="s">
        <v>83</v>
      </c>
      <c r="H1146" s="6" t="s">
        <v>38</v>
      </c>
      <c r="I1146" s="8" t="s">
        <v>174</v>
      </c>
      <c r="J1146" s="9">
        <v>1</v>
      </c>
      <c r="K1146" s="9">
        <v>203</v>
      </c>
      <c r="L1146" s="9">
        <v>2024</v>
      </c>
      <c r="M1146" s="8" t="s">
        <v>7023</v>
      </c>
      <c r="N1146" s="8" t="s">
        <v>41</v>
      </c>
      <c r="O1146" s="8" t="s">
        <v>65</v>
      </c>
      <c r="P1146" s="6" t="s">
        <v>55</v>
      </c>
      <c r="Q1146" s="8" t="s">
        <v>56</v>
      </c>
      <c r="R1146" s="10" t="s">
        <v>7024</v>
      </c>
      <c r="S1146" s="11" t="s">
        <v>7025</v>
      </c>
      <c r="T1146" s="6"/>
      <c r="U1146" s="28" t="str">
        <f>HYPERLINK("https://media.infra-m.ru/2139/2139320/cover/2139320.jpg", "Обложка")</f>
        <v>Обложка</v>
      </c>
      <c r="V1146" s="28" t="str">
        <f>HYPERLINK("https://znanium.ru/catalog/product/2139320", "Ознакомиться")</f>
        <v>Ознакомиться</v>
      </c>
      <c r="W1146" s="8"/>
      <c r="X1146" s="6"/>
      <c r="Y1146" s="6"/>
      <c r="Z1146" s="6"/>
      <c r="AA1146" s="6" t="s">
        <v>103</v>
      </c>
    </row>
    <row r="1147" spans="1:27" s="4" customFormat="1" ht="51.95" customHeight="1">
      <c r="A1147" s="5">
        <v>0</v>
      </c>
      <c r="B1147" s="6" t="s">
        <v>7026</v>
      </c>
      <c r="C1147" s="7">
        <v>1254</v>
      </c>
      <c r="D1147" s="8" t="s">
        <v>7027</v>
      </c>
      <c r="E1147" s="8" t="s">
        <v>7028</v>
      </c>
      <c r="F1147" s="8" t="s">
        <v>7029</v>
      </c>
      <c r="G1147" s="6" t="s">
        <v>83</v>
      </c>
      <c r="H1147" s="6" t="s">
        <v>38</v>
      </c>
      <c r="I1147" s="8" t="s">
        <v>164</v>
      </c>
      <c r="J1147" s="9">
        <v>1</v>
      </c>
      <c r="K1147" s="9">
        <v>272</v>
      </c>
      <c r="L1147" s="9">
        <v>2023</v>
      </c>
      <c r="M1147" s="8" t="s">
        <v>7030</v>
      </c>
      <c r="N1147" s="8" t="s">
        <v>41</v>
      </c>
      <c r="O1147" s="8" t="s">
        <v>65</v>
      </c>
      <c r="P1147" s="6" t="s">
        <v>55</v>
      </c>
      <c r="Q1147" s="8" t="s">
        <v>56</v>
      </c>
      <c r="R1147" s="10" t="s">
        <v>5014</v>
      </c>
      <c r="S1147" s="11" t="s">
        <v>7031</v>
      </c>
      <c r="T1147" s="6"/>
      <c r="U1147" s="28" t="str">
        <f>HYPERLINK("https://media.infra-m.ru/2127/2127095/cover/2127095.jpg", "Обложка")</f>
        <v>Обложка</v>
      </c>
      <c r="V1147" s="28" t="str">
        <f>HYPERLINK("https://znanium.ru/catalog/product/1914130", "Ознакомиться")</f>
        <v>Ознакомиться</v>
      </c>
      <c r="W1147" s="8" t="s">
        <v>1705</v>
      </c>
      <c r="X1147" s="6"/>
      <c r="Y1147" s="6"/>
      <c r="Z1147" s="6"/>
      <c r="AA1147" s="6" t="s">
        <v>274</v>
      </c>
    </row>
    <row r="1148" spans="1:27" s="4" customFormat="1" ht="51.95" customHeight="1">
      <c r="A1148" s="5">
        <v>0</v>
      </c>
      <c r="B1148" s="6" t="s">
        <v>7032</v>
      </c>
      <c r="C1148" s="13">
        <v>600</v>
      </c>
      <c r="D1148" s="8" t="s">
        <v>7033</v>
      </c>
      <c r="E1148" s="8" t="s">
        <v>7034</v>
      </c>
      <c r="F1148" s="8" t="s">
        <v>7035</v>
      </c>
      <c r="G1148" s="6" t="s">
        <v>37</v>
      </c>
      <c r="H1148" s="6" t="s">
        <v>317</v>
      </c>
      <c r="I1148" s="8" t="s">
        <v>39</v>
      </c>
      <c r="J1148" s="9">
        <v>1</v>
      </c>
      <c r="K1148" s="9">
        <v>126</v>
      </c>
      <c r="L1148" s="9">
        <v>2023</v>
      </c>
      <c r="M1148" s="8" t="s">
        <v>7036</v>
      </c>
      <c r="N1148" s="8" t="s">
        <v>41</v>
      </c>
      <c r="O1148" s="8" t="s">
        <v>65</v>
      </c>
      <c r="P1148" s="6" t="s">
        <v>43</v>
      </c>
      <c r="Q1148" s="8" t="s">
        <v>44</v>
      </c>
      <c r="R1148" s="10" t="s">
        <v>7037</v>
      </c>
      <c r="S1148" s="11"/>
      <c r="T1148" s="6"/>
      <c r="U1148" s="28" t="str">
        <f>HYPERLINK("https://media.infra-m.ru/1894/1894869/cover/1894869.jpg", "Обложка")</f>
        <v>Обложка</v>
      </c>
      <c r="V1148" s="28" t="str">
        <f>HYPERLINK("https://znanium.ru/catalog/product/1894869", "Ознакомиться")</f>
        <v>Ознакомиться</v>
      </c>
      <c r="W1148" s="8" t="s">
        <v>1852</v>
      </c>
      <c r="X1148" s="6"/>
      <c r="Y1148" s="6"/>
      <c r="Z1148" s="6"/>
      <c r="AA1148" s="6" t="s">
        <v>635</v>
      </c>
    </row>
    <row r="1149" spans="1:27" s="4" customFormat="1" ht="51.95" customHeight="1">
      <c r="A1149" s="5">
        <v>0</v>
      </c>
      <c r="B1149" s="6" t="s">
        <v>7038</v>
      </c>
      <c r="C1149" s="13">
        <v>700</v>
      </c>
      <c r="D1149" s="8" t="s">
        <v>7039</v>
      </c>
      <c r="E1149" s="8" t="s">
        <v>7040</v>
      </c>
      <c r="F1149" s="8" t="s">
        <v>7041</v>
      </c>
      <c r="G1149" s="6" t="s">
        <v>37</v>
      </c>
      <c r="H1149" s="6" t="s">
        <v>52</v>
      </c>
      <c r="I1149" s="8" t="s">
        <v>155</v>
      </c>
      <c r="J1149" s="9">
        <v>1</v>
      </c>
      <c r="K1149" s="9">
        <v>146</v>
      </c>
      <c r="L1149" s="9">
        <v>2023</v>
      </c>
      <c r="M1149" s="8" t="s">
        <v>7042</v>
      </c>
      <c r="N1149" s="8" t="s">
        <v>74</v>
      </c>
      <c r="O1149" s="8" t="s">
        <v>75</v>
      </c>
      <c r="P1149" s="6" t="s">
        <v>55</v>
      </c>
      <c r="Q1149" s="8" t="s">
        <v>177</v>
      </c>
      <c r="R1149" s="10" t="s">
        <v>7043</v>
      </c>
      <c r="S1149" s="11" t="s">
        <v>7044</v>
      </c>
      <c r="T1149" s="6"/>
      <c r="U1149" s="28" t="str">
        <f>HYPERLINK("https://media.infra-m.ru/2017/2017319/cover/2017319.jpg", "Обложка")</f>
        <v>Обложка</v>
      </c>
      <c r="V1149" s="28" t="str">
        <f>HYPERLINK("https://znanium.ru/catalog/product/2017319", "Ознакомиться")</f>
        <v>Ознакомиться</v>
      </c>
      <c r="W1149" s="8" t="s">
        <v>2060</v>
      </c>
      <c r="X1149" s="6"/>
      <c r="Y1149" s="6"/>
      <c r="Z1149" s="6"/>
      <c r="AA1149" s="6" t="s">
        <v>1772</v>
      </c>
    </row>
    <row r="1150" spans="1:27" s="4" customFormat="1" ht="42" customHeight="1">
      <c r="A1150" s="5">
        <v>0</v>
      </c>
      <c r="B1150" s="6" t="s">
        <v>7045</v>
      </c>
      <c r="C1150" s="7">
        <v>1250</v>
      </c>
      <c r="D1150" s="8" t="s">
        <v>7046</v>
      </c>
      <c r="E1150" s="8" t="s">
        <v>7047</v>
      </c>
      <c r="F1150" s="8" t="s">
        <v>7048</v>
      </c>
      <c r="G1150" s="6" t="s">
        <v>123</v>
      </c>
      <c r="H1150" s="6" t="s">
        <v>38</v>
      </c>
      <c r="I1150" s="8" t="s">
        <v>884</v>
      </c>
      <c r="J1150" s="9">
        <v>1</v>
      </c>
      <c r="K1150" s="9">
        <v>250</v>
      </c>
      <c r="L1150" s="9">
        <v>2024</v>
      </c>
      <c r="M1150" s="8" t="s">
        <v>7049</v>
      </c>
      <c r="N1150" s="8" t="s">
        <v>41</v>
      </c>
      <c r="O1150" s="8" t="s">
        <v>65</v>
      </c>
      <c r="P1150" s="6" t="s">
        <v>55</v>
      </c>
      <c r="Q1150" s="8" t="s">
        <v>594</v>
      </c>
      <c r="R1150" s="10" t="s">
        <v>7050</v>
      </c>
      <c r="S1150" s="11"/>
      <c r="T1150" s="6"/>
      <c r="U1150" s="28" t="str">
        <f>HYPERLINK("https://media.infra-m.ru/1002/1002565/cover/1002565.jpg", "Обложка")</f>
        <v>Обложка</v>
      </c>
      <c r="V1150" s="28" t="str">
        <f>HYPERLINK("https://znanium.ru/catalog/product/1002565", "Ознакомиться")</f>
        <v>Ознакомиться</v>
      </c>
      <c r="W1150" s="8" t="s">
        <v>7051</v>
      </c>
      <c r="X1150" s="6" t="s">
        <v>503</v>
      </c>
      <c r="Y1150" s="6"/>
      <c r="Z1150" s="6"/>
      <c r="AA1150" s="6" t="s">
        <v>180</v>
      </c>
    </row>
    <row r="1151" spans="1:27" s="4" customFormat="1" ht="51.95" customHeight="1">
      <c r="A1151" s="5">
        <v>0</v>
      </c>
      <c r="B1151" s="6" t="s">
        <v>7052</v>
      </c>
      <c r="C1151" s="13">
        <v>720</v>
      </c>
      <c r="D1151" s="8" t="s">
        <v>7053</v>
      </c>
      <c r="E1151" s="8" t="s">
        <v>7054</v>
      </c>
      <c r="F1151" s="8" t="s">
        <v>830</v>
      </c>
      <c r="G1151" s="6" t="s">
        <v>37</v>
      </c>
      <c r="H1151" s="6" t="s">
        <v>38</v>
      </c>
      <c r="I1151" s="8" t="s">
        <v>39</v>
      </c>
      <c r="J1151" s="9">
        <v>1</v>
      </c>
      <c r="K1151" s="9">
        <v>184</v>
      </c>
      <c r="L1151" s="9">
        <v>2022</v>
      </c>
      <c r="M1151" s="8" t="s">
        <v>7055</v>
      </c>
      <c r="N1151" s="8" t="s">
        <v>74</v>
      </c>
      <c r="O1151" s="8" t="s">
        <v>75</v>
      </c>
      <c r="P1151" s="6" t="s">
        <v>43</v>
      </c>
      <c r="Q1151" s="8" t="s">
        <v>44</v>
      </c>
      <c r="R1151" s="10" t="s">
        <v>3019</v>
      </c>
      <c r="S1151" s="11"/>
      <c r="T1151" s="6"/>
      <c r="U1151" s="28" t="str">
        <f>HYPERLINK("https://media.infra-m.ru/1862/1862656/cover/1862656.jpg", "Обложка")</f>
        <v>Обложка</v>
      </c>
      <c r="V1151" s="28" t="str">
        <f>HYPERLINK("https://znanium.ru/catalog/product/1862656", "Ознакомиться")</f>
        <v>Ознакомиться</v>
      </c>
      <c r="W1151" s="8" t="s">
        <v>833</v>
      </c>
      <c r="X1151" s="6"/>
      <c r="Y1151" s="6"/>
      <c r="Z1151" s="6"/>
      <c r="AA1151" s="6" t="s">
        <v>59</v>
      </c>
    </row>
    <row r="1152" spans="1:27" s="4" customFormat="1" ht="44.1" customHeight="1">
      <c r="A1152" s="5">
        <v>0</v>
      </c>
      <c r="B1152" s="6" t="s">
        <v>7056</v>
      </c>
      <c r="C1152" s="7">
        <v>1214</v>
      </c>
      <c r="D1152" s="8" t="s">
        <v>7057</v>
      </c>
      <c r="E1152" s="8" t="s">
        <v>7058</v>
      </c>
      <c r="F1152" s="8" t="s">
        <v>7059</v>
      </c>
      <c r="G1152" s="6" t="s">
        <v>26</v>
      </c>
      <c r="H1152" s="6" t="s">
        <v>4755</v>
      </c>
      <c r="I1152" s="8"/>
      <c r="J1152" s="9">
        <v>1</v>
      </c>
      <c r="K1152" s="9">
        <v>416</v>
      </c>
      <c r="L1152" s="9">
        <v>2023</v>
      </c>
      <c r="M1152" s="8" t="s">
        <v>7060</v>
      </c>
      <c r="N1152" s="8" t="s">
        <v>74</v>
      </c>
      <c r="O1152" s="8" t="s">
        <v>93</v>
      </c>
      <c r="P1152" s="6" t="s">
        <v>43</v>
      </c>
      <c r="Q1152" s="8" t="s">
        <v>44</v>
      </c>
      <c r="R1152" s="10" t="s">
        <v>7061</v>
      </c>
      <c r="S1152" s="11"/>
      <c r="T1152" s="6"/>
      <c r="U1152" s="12"/>
      <c r="V1152" s="28" t="str">
        <f>HYPERLINK("https://znanium.ru/catalog/product/1042597", "Ознакомиться")</f>
        <v>Ознакомиться</v>
      </c>
      <c r="W1152" s="8" t="s">
        <v>1334</v>
      </c>
      <c r="X1152" s="6"/>
      <c r="Y1152" s="6"/>
      <c r="Z1152" s="6"/>
      <c r="AA1152" s="6" t="s">
        <v>2895</v>
      </c>
    </row>
    <row r="1153" spans="1:27" s="4" customFormat="1" ht="51.95" customHeight="1">
      <c r="A1153" s="5">
        <v>0</v>
      </c>
      <c r="B1153" s="6" t="s">
        <v>7062</v>
      </c>
      <c r="C1153" s="7">
        <v>1710</v>
      </c>
      <c r="D1153" s="8" t="s">
        <v>7063</v>
      </c>
      <c r="E1153" s="8" t="s">
        <v>7064</v>
      </c>
      <c r="F1153" s="8" t="s">
        <v>7065</v>
      </c>
      <c r="G1153" s="6" t="s">
        <v>123</v>
      </c>
      <c r="H1153" s="6" t="s">
        <v>38</v>
      </c>
      <c r="I1153" s="8" t="s">
        <v>39</v>
      </c>
      <c r="J1153" s="9">
        <v>1</v>
      </c>
      <c r="K1153" s="9">
        <v>379</v>
      </c>
      <c r="L1153" s="9">
        <v>2023</v>
      </c>
      <c r="M1153" s="8" t="s">
        <v>7066</v>
      </c>
      <c r="N1153" s="8" t="s">
        <v>74</v>
      </c>
      <c r="O1153" s="8" t="s">
        <v>75</v>
      </c>
      <c r="P1153" s="6" t="s">
        <v>43</v>
      </c>
      <c r="Q1153" s="8" t="s">
        <v>44</v>
      </c>
      <c r="R1153" s="10" t="s">
        <v>7067</v>
      </c>
      <c r="S1153" s="11"/>
      <c r="T1153" s="6"/>
      <c r="U1153" s="28" t="str">
        <f>HYPERLINK("https://media.infra-m.ru/1911/1911018/cover/1911018.jpg", "Обложка")</f>
        <v>Обложка</v>
      </c>
      <c r="V1153" s="28" t="str">
        <f>HYPERLINK("https://znanium.ru/catalog/product/1911018", "Ознакомиться")</f>
        <v>Ознакомиться</v>
      </c>
      <c r="W1153" s="8" t="s">
        <v>2765</v>
      </c>
      <c r="X1153" s="6"/>
      <c r="Y1153" s="6"/>
      <c r="Z1153" s="6"/>
      <c r="AA1153" s="6" t="s">
        <v>111</v>
      </c>
    </row>
    <row r="1154" spans="1:27" s="4" customFormat="1" ht="44.1" customHeight="1">
      <c r="A1154" s="5">
        <v>0</v>
      </c>
      <c r="B1154" s="6" t="s">
        <v>7068</v>
      </c>
      <c r="C1154" s="7">
        <v>1144.9000000000001</v>
      </c>
      <c r="D1154" s="8" t="s">
        <v>7069</v>
      </c>
      <c r="E1154" s="8" t="s">
        <v>7070</v>
      </c>
      <c r="F1154" s="8" t="s">
        <v>7071</v>
      </c>
      <c r="G1154" s="6" t="s">
        <v>123</v>
      </c>
      <c r="H1154" s="6" t="s">
        <v>38</v>
      </c>
      <c r="I1154" s="8" t="s">
        <v>39</v>
      </c>
      <c r="J1154" s="9">
        <v>1</v>
      </c>
      <c r="K1154" s="9">
        <v>338</v>
      </c>
      <c r="L1154" s="9">
        <v>2020</v>
      </c>
      <c r="M1154" s="8" t="s">
        <v>7072</v>
      </c>
      <c r="N1154" s="8" t="s">
        <v>74</v>
      </c>
      <c r="O1154" s="8" t="s">
        <v>93</v>
      </c>
      <c r="P1154" s="6" t="s">
        <v>43</v>
      </c>
      <c r="Q1154" s="8" t="s">
        <v>44</v>
      </c>
      <c r="R1154" s="10" t="s">
        <v>7073</v>
      </c>
      <c r="S1154" s="11"/>
      <c r="T1154" s="6"/>
      <c r="U1154" s="28" t="str">
        <f>HYPERLINK("https://media.infra-m.ru/1036/1036576/cover/1036576.jpg", "Обложка")</f>
        <v>Обложка</v>
      </c>
      <c r="V1154" s="28" t="str">
        <f>HYPERLINK("https://znanium.ru/catalog/product/1036576", "Ознакомиться")</f>
        <v>Ознакомиться</v>
      </c>
      <c r="W1154" s="8" t="s">
        <v>77</v>
      </c>
      <c r="X1154" s="6"/>
      <c r="Y1154" s="6"/>
      <c r="Z1154" s="6"/>
      <c r="AA1154" s="6" t="s">
        <v>364</v>
      </c>
    </row>
    <row r="1155" spans="1:27" s="4" customFormat="1" ht="44.1" customHeight="1">
      <c r="A1155" s="5">
        <v>0</v>
      </c>
      <c r="B1155" s="6" t="s">
        <v>7074</v>
      </c>
      <c r="C1155" s="7">
        <v>1370</v>
      </c>
      <c r="D1155" s="8" t="s">
        <v>7075</v>
      </c>
      <c r="E1155" s="8" t="s">
        <v>7076</v>
      </c>
      <c r="F1155" s="8" t="s">
        <v>7077</v>
      </c>
      <c r="G1155" s="6" t="s">
        <v>123</v>
      </c>
      <c r="H1155" s="6" t="s">
        <v>38</v>
      </c>
      <c r="I1155" s="8" t="s">
        <v>39</v>
      </c>
      <c r="J1155" s="9">
        <v>1</v>
      </c>
      <c r="K1155" s="9">
        <v>282</v>
      </c>
      <c r="L1155" s="9">
        <v>2024</v>
      </c>
      <c r="M1155" s="8" t="s">
        <v>7078</v>
      </c>
      <c r="N1155" s="8" t="s">
        <v>41</v>
      </c>
      <c r="O1155" s="8" t="s">
        <v>65</v>
      </c>
      <c r="P1155" s="6" t="s">
        <v>43</v>
      </c>
      <c r="Q1155" s="8" t="s">
        <v>44</v>
      </c>
      <c r="R1155" s="10" t="s">
        <v>7079</v>
      </c>
      <c r="S1155" s="11"/>
      <c r="T1155" s="6"/>
      <c r="U1155" s="28" t="str">
        <f>HYPERLINK("https://media.infra-m.ru/2076/2076752/cover/2076752.jpg", "Обложка")</f>
        <v>Обложка</v>
      </c>
      <c r="V1155" s="28" t="str">
        <f>HYPERLINK("https://znanium.ru/catalog/product/2076752", "Ознакомиться")</f>
        <v>Ознакомиться</v>
      </c>
      <c r="W1155" s="8" t="s">
        <v>7080</v>
      </c>
      <c r="X1155" s="6" t="s">
        <v>179</v>
      </c>
      <c r="Y1155" s="6"/>
      <c r="Z1155" s="6"/>
      <c r="AA1155" s="6" t="s">
        <v>180</v>
      </c>
    </row>
    <row r="1156" spans="1:27" s="4" customFormat="1" ht="44.1" customHeight="1">
      <c r="A1156" s="5">
        <v>0</v>
      </c>
      <c r="B1156" s="6" t="s">
        <v>7081</v>
      </c>
      <c r="C1156" s="13">
        <v>964</v>
      </c>
      <c r="D1156" s="8" t="s">
        <v>7082</v>
      </c>
      <c r="E1156" s="8" t="s">
        <v>7083</v>
      </c>
      <c r="F1156" s="8" t="s">
        <v>7084</v>
      </c>
      <c r="G1156" s="6" t="s">
        <v>37</v>
      </c>
      <c r="H1156" s="6" t="s">
        <v>52</v>
      </c>
      <c r="I1156" s="8"/>
      <c r="J1156" s="9">
        <v>1</v>
      </c>
      <c r="K1156" s="9">
        <v>205</v>
      </c>
      <c r="L1156" s="9">
        <v>2024</v>
      </c>
      <c r="M1156" s="8" t="s">
        <v>7085</v>
      </c>
      <c r="N1156" s="8" t="s">
        <v>74</v>
      </c>
      <c r="O1156" s="8" t="s">
        <v>109</v>
      </c>
      <c r="P1156" s="6" t="s">
        <v>43</v>
      </c>
      <c r="Q1156" s="8" t="s">
        <v>44</v>
      </c>
      <c r="R1156" s="10" t="s">
        <v>7086</v>
      </c>
      <c r="S1156" s="11"/>
      <c r="T1156" s="6"/>
      <c r="U1156" s="28" t="str">
        <f>HYPERLINK("https://media.infra-m.ru/2073/2073482/cover/2073482.jpg", "Обложка")</f>
        <v>Обложка</v>
      </c>
      <c r="V1156" s="28" t="str">
        <f>HYPERLINK("https://znanium.ru/catalog/product/950839", "Ознакомиться")</f>
        <v>Ознакомиться</v>
      </c>
      <c r="W1156" s="8" t="s">
        <v>1679</v>
      </c>
      <c r="X1156" s="6"/>
      <c r="Y1156" s="6"/>
      <c r="Z1156" s="6"/>
      <c r="AA1156" s="6" t="s">
        <v>96</v>
      </c>
    </row>
    <row r="1157" spans="1:27" s="4" customFormat="1" ht="42" customHeight="1">
      <c r="A1157" s="5">
        <v>0</v>
      </c>
      <c r="B1157" s="6" t="s">
        <v>7087</v>
      </c>
      <c r="C1157" s="13">
        <v>694.9</v>
      </c>
      <c r="D1157" s="8" t="s">
        <v>7088</v>
      </c>
      <c r="E1157" s="8" t="s">
        <v>7089</v>
      </c>
      <c r="F1157" s="8" t="s">
        <v>72</v>
      </c>
      <c r="G1157" s="6" t="s">
        <v>37</v>
      </c>
      <c r="H1157" s="6" t="s">
        <v>38</v>
      </c>
      <c r="I1157" s="8" t="s">
        <v>39</v>
      </c>
      <c r="J1157" s="9">
        <v>1</v>
      </c>
      <c r="K1157" s="9">
        <v>155</v>
      </c>
      <c r="L1157" s="9">
        <v>2023</v>
      </c>
      <c r="M1157" s="8" t="s">
        <v>7090</v>
      </c>
      <c r="N1157" s="8" t="s">
        <v>74</v>
      </c>
      <c r="O1157" s="8" t="s">
        <v>75</v>
      </c>
      <c r="P1157" s="6" t="s">
        <v>43</v>
      </c>
      <c r="Q1157" s="8" t="s">
        <v>44</v>
      </c>
      <c r="R1157" s="10" t="s">
        <v>1034</v>
      </c>
      <c r="S1157" s="11"/>
      <c r="T1157" s="6"/>
      <c r="U1157" s="28" t="str">
        <f>HYPERLINK("https://media.infra-m.ru/2039/2039890/cover/2039890.jpg", "Обложка")</f>
        <v>Обложка</v>
      </c>
      <c r="V1157" s="28" t="str">
        <f>HYPERLINK("https://znanium.ru/catalog/product/1012661", "Ознакомиться")</f>
        <v>Ознакомиться</v>
      </c>
      <c r="W1157" s="8" t="s">
        <v>77</v>
      </c>
      <c r="X1157" s="6"/>
      <c r="Y1157" s="6"/>
      <c r="Z1157" s="6"/>
      <c r="AA1157" s="6" t="s">
        <v>141</v>
      </c>
    </row>
    <row r="1158" spans="1:27" s="4" customFormat="1" ht="42" customHeight="1">
      <c r="A1158" s="5">
        <v>0</v>
      </c>
      <c r="B1158" s="6" t="s">
        <v>7091</v>
      </c>
      <c r="C1158" s="7">
        <v>1070</v>
      </c>
      <c r="D1158" s="8" t="s">
        <v>7092</v>
      </c>
      <c r="E1158" s="8" t="s">
        <v>7093</v>
      </c>
      <c r="F1158" s="8" t="s">
        <v>7094</v>
      </c>
      <c r="G1158" s="6" t="s">
        <v>37</v>
      </c>
      <c r="H1158" s="6" t="s">
        <v>38</v>
      </c>
      <c r="I1158" s="8" t="s">
        <v>39</v>
      </c>
      <c r="J1158" s="9">
        <v>1</v>
      </c>
      <c r="K1158" s="9">
        <v>231</v>
      </c>
      <c r="L1158" s="9">
        <v>2024</v>
      </c>
      <c r="M1158" s="8" t="s">
        <v>7095</v>
      </c>
      <c r="N1158" s="8" t="s">
        <v>41</v>
      </c>
      <c r="O1158" s="8" t="s">
        <v>42</v>
      </c>
      <c r="P1158" s="6" t="s">
        <v>43</v>
      </c>
      <c r="Q1158" s="8" t="s">
        <v>44</v>
      </c>
      <c r="R1158" s="10" t="s">
        <v>7096</v>
      </c>
      <c r="S1158" s="11"/>
      <c r="T1158" s="6"/>
      <c r="U1158" s="28" t="str">
        <f>HYPERLINK("https://media.infra-m.ru/2082/2082662/cover/2082662.jpg", "Обложка")</f>
        <v>Обложка</v>
      </c>
      <c r="V1158" s="28" t="str">
        <f>HYPERLINK("https://znanium.ru/catalog/product/2082662", "Ознакомиться")</f>
        <v>Ознакомиться</v>
      </c>
      <c r="W1158" s="8" t="s">
        <v>7097</v>
      </c>
      <c r="X1158" s="6" t="s">
        <v>517</v>
      </c>
      <c r="Y1158" s="6"/>
      <c r="Z1158" s="6"/>
      <c r="AA1158" s="6" t="s">
        <v>180</v>
      </c>
    </row>
    <row r="1159" spans="1:27" s="4" customFormat="1" ht="42" customHeight="1">
      <c r="A1159" s="5">
        <v>0</v>
      </c>
      <c r="B1159" s="6" t="s">
        <v>7098</v>
      </c>
      <c r="C1159" s="7">
        <v>1070</v>
      </c>
      <c r="D1159" s="8" t="s">
        <v>7099</v>
      </c>
      <c r="E1159" s="8" t="s">
        <v>7100</v>
      </c>
      <c r="F1159" s="8" t="s">
        <v>2001</v>
      </c>
      <c r="G1159" s="6" t="s">
        <v>37</v>
      </c>
      <c r="H1159" s="6" t="s">
        <v>38</v>
      </c>
      <c r="I1159" s="8" t="s">
        <v>39</v>
      </c>
      <c r="J1159" s="9">
        <v>1</v>
      </c>
      <c r="K1159" s="9">
        <v>273</v>
      </c>
      <c r="L1159" s="9">
        <v>2022</v>
      </c>
      <c r="M1159" s="8" t="s">
        <v>7101</v>
      </c>
      <c r="N1159" s="8" t="s">
        <v>41</v>
      </c>
      <c r="O1159" s="8" t="s">
        <v>65</v>
      </c>
      <c r="P1159" s="6" t="s">
        <v>43</v>
      </c>
      <c r="Q1159" s="8" t="s">
        <v>44</v>
      </c>
      <c r="R1159" s="10" t="s">
        <v>148</v>
      </c>
      <c r="S1159" s="11"/>
      <c r="T1159" s="6"/>
      <c r="U1159" s="28" t="str">
        <f>HYPERLINK("https://media.infra-m.ru/1840/1840175/cover/1840175.jpg", "Обложка")</f>
        <v>Обложка</v>
      </c>
      <c r="V1159" s="28" t="str">
        <f>HYPERLINK("https://znanium.ru/catalog/product/1840175", "Ознакомиться")</f>
        <v>Ознакомиться</v>
      </c>
      <c r="W1159" s="8" t="s">
        <v>247</v>
      </c>
      <c r="X1159" s="6"/>
      <c r="Y1159" s="6"/>
      <c r="Z1159" s="6"/>
      <c r="AA1159" s="6" t="s">
        <v>103</v>
      </c>
    </row>
    <row r="1160" spans="1:27" s="4" customFormat="1" ht="44.1" customHeight="1">
      <c r="A1160" s="5">
        <v>0</v>
      </c>
      <c r="B1160" s="6" t="s">
        <v>7102</v>
      </c>
      <c r="C1160" s="7">
        <v>1290</v>
      </c>
      <c r="D1160" s="8" t="s">
        <v>7103</v>
      </c>
      <c r="E1160" s="8" t="s">
        <v>7104</v>
      </c>
      <c r="F1160" s="8" t="s">
        <v>7077</v>
      </c>
      <c r="G1160" s="6" t="s">
        <v>123</v>
      </c>
      <c r="H1160" s="6" t="s">
        <v>38</v>
      </c>
      <c r="I1160" s="8" t="s">
        <v>39</v>
      </c>
      <c r="J1160" s="9">
        <v>1</v>
      </c>
      <c r="K1160" s="9">
        <v>275</v>
      </c>
      <c r="L1160" s="9">
        <v>2024</v>
      </c>
      <c r="M1160" s="8" t="s">
        <v>7105</v>
      </c>
      <c r="N1160" s="8" t="s">
        <v>41</v>
      </c>
      <c r="O1160" s="8" t="s">
        <v>65</v>
      </c>
      <c r="P1160" s="6" t="s">
        <v>43</v>
      </c>
      <c r="Q1160" s="8" t="s">
        <v>44</v>
      </c>
      <c r="R1160" s="10" t="s">
        <v>7106</v>
      </c>
      <c r="S1160" s="11"/>
      <c r="T1160" s="6"/>
      <c r="U1160" s="28" t="str">
        <f>HYPERLINK("https://media.infra-m.ru/2091/2091441/cover/2091441.jpg", "Обложка")</f>
        <v>Обложка</v>
      </c>
      <c r="V1160" s="28" t="str">
        <f>HYPERLINK("https://znanium.ru/catalog/product/2091441", "Ознакомиться")</f>
        <v>Ознакомиться</v>
      </c>
      <c r="W1160" s="8" t="s">
        <v>7080</v>
      </c>
      <c r="X1160" s="6" t="s">
        <v>582</v>
      </c>
      <c r="Y1160" s="6"/>
      <c r="Z1160" s="6"/>
      <c r="AA1160" s="6" t="s">
        <v>180</v>
      </c>
    </row>
    <row r="1161" spans="1:27" s="4" customFormat="1" ht="42" customHeight="1">
      <c r="A1161" s="5">
        <v>0</v>
      </c>
      <c r="B1161" s="6" t="s">
        <v>7107</v>
      </c>
      <c r="C1161" s="13">
        <v>880</v>
      </c>
      <c r="D1161" s="8" t="s">
        <v>7108</v>
      </c>
      <c r="E1161" s="8" t="s">
        <v>7109</v>
      </c>
      <c r="F1161" s="8" t="s">
        <v>400</v>
      </c>
      <c r="G1161" s="6" t="s">
        <v>37</v>
      </c>
      <c r="H1161" s="6" t="s">
        <v>38</v>
      </c>
      <c r="I1161" s="8" t="s">
        <v>39</v>
      </c>
      <c r="J1161" s="9">
        <v>1</v>
      </c>
      <c r="K1161" s="9">
        <v>224</v>
      </c>
      <c r="L1161" s="9">
        <v>2022</v>
      </c>
      <c r="M1161" s="8" t="s">
        <v>7110</v>
      </c>
      <c r="N1161" s="8" t="s">
        <v>74</v>
      </c>
      <c r="O1161" s="8" t="s">
        <v>93</v>
      </c>
      <c r="P1161" s="6" t="s">
        <v>43</v>
      </c>
      <c r="Q1161" s="8" t="s">
        <v>44</v>
      </c>
      <c r="R1161" s="10" t="s">
        <v>1710</v>
      </c>
      <c r="S1161" s="11"/>
      <c r="T1161" s="6"/>
      <c r="U1161" s="28" t="str">
        <f>HYPERLINK("https://media.infra-m.ru/1840/1840173/cover/1840173.jpg", "Обложка")</f>
        <v>Обложка</v>
      </c>
      <c r="V1161" s="28" t="str">
        <f>HYPERLINK("https://znanium.ru/catalog/product/1840173", "Ознакомиться")</f>
        <v>Ознакомиться</v>
      </c>
      <c r="W1161" s="8" t="s">
        <v>402</v>
      </c>
      <c r="X1161" s="6"/>
      <c r="Y1161" s="6"/>
      <c r="Z1161" s="6"/>
      <c r="AA1161" s="6" t="s">
        <v>103</v>
      </c>
    </row>
    <row r="1162" spans="1:27" s="4" customFormat="1" ht="51.95" customHeight="1">
      <c r="A1162" s="5">
        <v>0</v>
      </c>
      <c r="B1162" s="6" t="s">
        <v>7111</v>
      </c>
      <c r="C1162" s="13">
        <v>914</v>
      </c>
      <c r="D1162" s="8" t="s">
        <v>7112</v>
      </c>
      <c r="E1162" s="8" t="s">
        <v>7113</v>
      </c>
      <c r="F1162" s="8" t="s">
        <v>7114</v>
      </c>
      <c r="G1162" s="6" t="s">
        <v>123</v>
      </c>
      <c r="H1162" s="6" t="s">
        <v>38</v>
      </c>
      <c r="I1162" s="8"/>
      <c r="J1162" s="9">
        <v>1</v>
      </c>
      <c r="K1162" s="9">
        <v>192</v>
      </c>
      <c r="L1162" s="9">
        <v>2023</v>
      </c>
      <c r="M1162" s="8" t="s">
        <v>7115</v>
      </c>
      <c r="N1162" s="8" t="s">
        <v>41</v>
      </c>
      <c r="O1162" s="8" t="s">
        <v>54</v>
      </c>
      <c r="P1162" s="6" t="s">
        <v>7116</v>
      </c>
      <c r="Q1162" s="8" t="s">
        <v>44</v>
      </c>
      <c r="R1162" s="10" t="s">
        <v>7117</v>
      </c>
      <c r="S1162" s="11"/>
      <c r="T1162" s="6"/>
      <c r="U1162" s="28" t="str">
        <f>HYPERLINK("https://media.infra-m.ru/2089/2089866/cover/2089866.jpg", "Обложка")</f>
        <v>Обложка</v>
      </c>
      <c r="V1162" s="28" t="str">
        <f>HYPERLINK("https://znanium.ru/catalog/product/2079701", "Ознакомиться")</f>
        <v>Ознакомиться</v>
      </c>
      <c r="W1162" s="8" t="s">
        <v>7118</v>
      </c>
      <c r="X1162" s="6"/>
      <c r="Y1162" s="6"/>
      <c r="Z1162" s="6"/>
      <c r="AA1162" s="6" t="s">
        <v>111</v>
      </c>
    </row>
    <row r="1163" spans="1:27" s="4" customFormat="1" ht="42" customHeight="1">
      <c r="A1163" s="5">
        <v>0</v>
      </c>
      <c r="B1163" s="6" t="s">
        <v>7119</v>
      </c>
      <c r="C1163" s="13">
        <v>424.9</v>
      </c>
      <c r="D1163" s="8" t="s">
        <v>7120</v>
      </c>
      <c r="E1163" s="8" t="s">
        <v>7121</v>
      </c>
      <c r="F1163" s="8" t="s">
        <v>7122</v>
      </c>
      <c r="G1163" s="6" t="s">
        <v>37</v>
      </c>
      <c r="H1163" s="6" t="s">
        <v>38</v>
      </c>
      <c r="I1163" s="8" t="s">
        <v>39</v>
      </c>
      <c r="J1163" s="9">
        <v>1</v>
      </c>
      <c r="K1163" s="9">
        <v>120</v>
      </c>
      <c r="L1163" s="9">
        <v>2020</v>
      </c>
      <c r="M1163" s="8" t="s">
        <v>7123</v>
      </c>
      <c r="N1163" s="8" t="s">
        <v>41</v>
      </c>
      <c r="O1163" s="8" t="s">
        <v>65</v>
      </c>
      <c r="P1163" s="6" t="s">
        <v>43</v>
      </c>
      <c r="Q1163" s="8" t="s">
        <v>44</v>
      </c>
      <c r="R1163" s="10" t="s">
        <v>5156</v>
      </c>
      <c r="S1163" s="11"/>
      <c r="T1163" s="6"/>
      <c r="U1163" s="28" t="str">
        <f>HYPERLINK("https://media.infra-m.ru/1047/1047147/cover/1047147.jpg", "Обложка")</f>
        <v>Обложка</v>
      </c>
      <c r="V1163" s="28" t="str">
        <f>HYPERLINK("https://znanium.ru/catalog/product/1047147", "Ознакомиться")</f>
        <v>Ознакомиться</v>
      </c>
      <c r="W1163" s="8" t="s">
        <v>355</v>
      </c>
      <c r="X1163" s="6"/>
      <c r="Y1163" s="6"/>
      <c r="Z1163" s="6"/>
      <c r="AA1163" s="6" t="s">
        <v>650</v>
      </c>
    </row>
    <row r="1164" spans="1:27" s="4" customFormat="1" ht="42" customHeight="1">
      <c r="A1164" s="5">
        <v>0</v>
      </c>
      <c r="B1164" s="6" t="s">
        <v>7124</v>
      </c>
      <c r="C1164" s="7">
        <v>1510</v>
      </c>
      <c r="D1164" s="8" t="s">
        <v>7125</v>
      </c>
      <c r="E1164" s="8" t="s">
        <v>7126</v>
      </c>
      <c r="F1164" s="8" t="s">
        <v>7127</v>
      </c>
      <c r="G1164" s="6" t="s">
        <v>83</v>
      </c>
      <c r="H1164" s="6" t="s">
        <v>38</v>
      </c>
      <c r="I1164" s="8" t="s">
        <v>39</v>
      </c>
      <c r="J1164" s="9">
        <v>1</v>
      </c>
      <c r="K1164" s="9">
        <v>335</v>
      </c>
      <c r="L1164" s="9">
        <v>2023</v>
      </c>
      <c r="M1164" s="8" t="s">
        <v>7128</v>
      </c>
      <c r="N1164" s="8" t="s">
        <v>74</v>
      </c>
      <c r="O1164" s="8" t="s">
        <v>394</v>
      </c>
      <c r="P1164" s="6" t="s">
        <v>43</v>
      </c>
      <c r="Q1164" s="8" t="s">
        <v>44</v>
      </c>
      <c r="R1164" s="10" t="s">
        <v>1062</v>
      </c>
      <c r="S1164" s="11"/>
      <c r="T1164" s="6"/>
      <c r="U1164" s="28" t="str">
        <f>HYPERLINK("https://media.infra-m.ru/1898/1898363/cover/1898363.jpg", "Обложка")</f>
        <v>Обложка</v>
      </c>
      <c r="V1164" s="28" t="str">
        <f>HYPERLINK("https://znanium.ru/catalog/product/1898363", "Ознакомиться")</f>
        <v>Ознакомиться</v>
      </c>
      <c r="W1164" s="8" t="s">
        <v>912</v>
      </c>
      <c r="X1164" s="6"/>
      <c r="Y1164" s="6"/>
      <c r="Z1164" s="6"/>
      <c r="AA1164" s="6" t="s">
        <v>78</v>
      </c>
    </row>
    <row r="1165" spans="1:27" s="4" customFormat="1" ht="42" customHeight="1">
      <c r="A1165" s="5">
        <v>0</v>
      </c>
      <c r="B1165" s="6" t="s">
        <v>7129</v>
      </c>
      <c r="C1165" s="13">
        <v>780</v>
      </c>
      <c r="D1165" s="8" t="s">
        <v>7130</v>
      </c>
      <c r="E1165" s="8" t="s">
        <v>7131</v>
      </c>
      <c r="F1165" s="8" t="s">
        <v>400</v>
      </c>
      <c r="G1165" s="6" t="s">
        <v>37</v>
      </c>
      <c r="H1165" s="6" t="s">
        <v>38</v>
      </c>
      <c r="I1165" s="8" t="s">
        <v>39</v>
      </c>
      <c r="J1165" s="9">
        <v>1</v>
      </c>
      <c r="K1165" s="9">
        <v>183</v>
      </c>
      <c r="L1165" s="9">
        <v>2022</v>
      </c>
      <c r="M1165" s="8" t="s">
        <v>7132</v>
      </c>
      <c r="N1165" s="8" t="s">
        <v>74</v>
      </c>
      <c r="O1165" s="8" t="s">
        <v>93</v>
      </c>
      <c r="P1165" s="6" t="s">
        <v>43</v>
      </c>
      <c r="Q1165" s="8" t="s">
        <v>44</v>
      </c>
      <c r="R1165" s="10" t="s">
        <v>1710</v>
      </c>
      <c r="S1165" s="11"/>
      <c r="T1165" s="6"/>
      <c r="U1165" s="28" t="str">
        <f>HYPERLINK("https://media.infra-m.ru/1841/1841828/cover/1841828.jpg", "Обложка")</f>
        <v>Обложка</v>
      </c>
      <c r="V1165" s="28" t="str">
        <f>HYPERLINK("https://znanium.ru/catalog/product/1841828", "Ознакомиться")</f>
        <v>Ознакомиться</v>
      </c>
      <c r="W1165" s="8" t="s">
        <v>402</v>
      </c>
      <c r="X1165" s="6"/>
      <c r="Y1165" s="6"/>
      <c r="Z1165" s="6"/>
      <c r="AA1165" s="6" t="s">
        <v>103</v>
      </c>
    </row>
    <row r="1166" spans="1:27" s="4" customFormat="1" ht="44.1" customHeight="1">
      <c r="A1166" s="5">
        <v>0</v>
      </c>
      <c r="B1166" s="6" t="s">
        <v>7133</v>
      </c>
      <c r="C1166" s="13">
        <v>914</v>
      </c>
      <c r="D1166" s="8" t="s">
        <v>7134</v>
      </c>
      <c r="E1166" s="8" t="s">
        <v>7135</v>
      </c>
      <c r="F1166" s="8" t="s">
        <v>7136</v>
      </c>
      <c r="G1166" s="6" t="s">
        <v>83</v>
      </c>
      <c r="H1166" s="6" t="s">
        <v>38</v>
      </c>
      <c r="I1166" s="8" t="s">
        <v>39</v>
      </c>
      <c r="J1166" s="9">
        <v>1</v>
      </c>
      <c r="K1166" s="9">
        <v>202</v>
      </c>
      <c r="L1166" s="9">
        <v>2023</v>
      </c>
      <c r="M1166" s="8" t="s">
        <v>7137</v>
      </c>
      <c r="N1166" s="8" t="s">
        <v>74</v>
      </c>
      <c r="O1166" s="8" t="s">
        <v>394</v>
      </c>
      <c r="P1166" s="6" t="s">
        <v>43</v>
      </c>
      <c r="Q1166" s="8" t="s">
        <v>44</v>
      </c>
      <c r="R1166" s="10" t="s">
        <v>7138</v>
      </c>
      <c r="S1166" s="11"/>
      <c r="T1166" s="6" t="s">
        <v>190</v>
      </c>
      <c r="U1166" s="28" t="str">
        <f>HYPERLINK("https://media.infra-m.ru/2006/2006821/cover/2006821.jpg", "Обложка")</f>
        <v>Обложка</v>
      </c>
      <c r="V1166" s="28" t="str">
        <f>HYPERLINK("https://znanium.ru/catalog/product/987754", "Ознакомиться")</f>
        <v>Ознакомиться</v>
      </c>
      <c r="W1166" s="8" t="s">
        <v>7139</v>
      </c>
      <c r="X1166" s="6"/>
      <c r="Y1166" s="6"/>
      <c r="Z1166" s="6"/>
      <c r="AA1166" s="6" t="s">
        <v>68</v>
      </c>
    </row>
    <row r="1167" spans="1:27" s="4" customFormat="1" ht="42" customHeight="1">
      <c r="A1167" s="5">
        <v>0</v>
      </c>
      <c r="B1167" s="6" t="s">
        <v>7140</v>
      </c>
      <c r="C1167" s="7">
        <v>2134</v>
      </c>
      <c r="D1167" s="8" t="s">
        <v>7141</v>
      </c>
      <c r="E1167" s="8" t="s">
        <v>7142</v>
      </c>
      <c r="F1167" s="8" t="s">
        <v>7143</v>
      </c>
      <c r="G1167" s="6" t="s">
        <v>123</v>
      </c>
      <c r="H1167" s="6" t="s">
        <v>934</v>
      </c>
      <c r="I1167" s="8" t="s">
        <v>205</v>
      </c>
      <c r="J1167" s="9">
        <v>1</v>
      </c>
      <c r="K1167" s="9">
        <v>464</v>
      </c>
      <c r="L1167" s="9">
        <v>2024</v>
      </c>
      <c r="M1167" s="8" t="s">
        <v>7144</v>
      </c>
      <c r="N1167" s="8" t="s">
        <v>74</v>
      </c>
      <c r="O1167" s="8" t="s">
        <v>75</v>
      </c>
      <c r="P1167" s="6" t="s">
        <v>55</v>
      </c>
      <c r="Q1167" s="8" t="s">
        <v>207</v>
      </c>
      <c r="R1167" s="10" t="s">
        <v>3096</v>
      </c>
      <c r="S1167" s="11"/>
      <c r="T1167" s="6"/>
      <c r="U1167" s="28" t="str">
        <f>HYPERLINK("https://media.infra-m.ru/2112/2112879/cover/2112879.jpg", "Обложка")</f>
        <v>Обложка</v>
      </c>
      <c r="V1167" s="28" t="str">
        <f>HYPERLINK("https://znanium.ru/catalog/product/1230037", "Ознакомиться")</f>
        <v>Ознакомиться</v>
      </c>
      <c r="W1167" s="8" t="s">
        <v>273</v>
      </c>
      <c r="X1167" s="6"/>
      <c r="Y1167" s="6"/>
      <c r="Z1167" s="6"/>
      <c r="AA1167" s="6" t="s">
        <v>47</v>
      </c>
    </row>
    <row r="1168" spans="1:27" s="4" customFormat="1" ht="51.95" customHeight="1">
      <c r="A1168" s="5">
        <v>0</v>
      </c>
      <c r="B1168" s="6" t="s">
        <v>7145</v>
      </c>
      <c r="C1168" s="7">
        <v>1494</v>
      </c>
      <c r="D1168" s="8" t="s">
        <v>7146</v>
      </c>
      <c r="E1168" s="8" t="s">
        <v>7147</v>
      </c>
      <c r="F1168" s="8" t="s">
        <v>7148</v>
      </c>
      <c r="G1168" s="6" t="s">
        <v>83</v>
      </c>
      <c r="H1168" s="6" t="s">
        <v>4755</v>
      </c>
      <c r="I1168" s="8"/>
      <c r="J1168" s="9">
        <v>1</v>
      </c>
      <c r="K1168" s="9">
        <v>320</v>
      </c>
      <c r="L1168" s="9">
        <v>2024</v>
      </c>
      <c r="M1168" s="8" t="s">
        <v>7149</v>
      </c>
      <c r="N1168" s="8" t="s">
        <v>74</v>
      </c>
      <c r="O1168" s="8" t="s">
        <v>75</v>
      </c>
      <c r="P1168" s="6" t="s">
        <v>176</v>
      </c>
      <c r="Q1168" s="8" t="s">
        <v>56</v>
      </c>
      <c r="R1168" s="10" t="s">
        <v>7150</v>
      </c>
      <c r="S1168" s="11" t="s">
        <v>7151</v>
      </c>
      <c r="T1168" s="6"/>
      <c r="U1168" s="28" t="str">
        <f>HYPERLINK("https://media.infra-m.ru/2133/2133773/cover/2133773.jpg", "Обложка")</f>
        <v>Обложка</v>
      </c>
      <c r="V1168" s="28" t="str">
        <f>HYPERLINK("https://znanium.ru/catalog/product/2017320", "Ознакомиться")</f>
        <v>Ознакомиться</v>
      </c>
      <c r="W1168" s="8" t="s">
        <v>3569</v>
      </c>
      <c r="X1168" s="6"/>
      <c r="Y1168" s="6"/>
      <c r="Z1168" s="6"/>
      <c r="AA1168" s="6" t="s">
        <v>2918</v>
      </c>
    </row>
    <row r="1169" spans="1:27" s="4" customFormat="1" ht="42" customHeight="1">
      <c r="A1169" s="5">
        <v>0</v>
      </c>
      <c r="B1169" s="6" t="s">
        <v>7152</v>
      </c>
      <c r="C1169" s="13">
        <v>634.9</v>
      </c>
      <c r="D1169" s="8" t="s">
        <v>7153</v>
      </c>
      <c r="E1169" s="8" t="s">
        <v>7154</v>
      </c>
      <c r="F1169" s="8" t="s">
        <v>7155</v>
      </c>
      <c r="G1169" s="6" t="s">
        <v>37</v>
      </c>
      <c r="H1169" s="6" t="s">
        <v>38</v>
      </c>
      <c r="I1169" s="8" t="s">
        <v>39</v>
      </c>
      <c r="J1169" s="9">
        <v>30</v>
      </c>
      <c r="K1169" s="9">
        <v>204</v>
      </c>
      <c r="L1169" s="9">
        <v>2016</v>
      </c>
      <c r="M1169" s="8" t="s">
        <v>7156</v>
      </c>
      <c r="N1169" s="8" t="s">
        <v>41</v>
      </c>
      <c r="O1169" s="8" t="s">
        <v>65</v>
      </c>
      <c r="P1169" s="6" t="s">
        <v>43</v>
      </c>
      <c r="Q1169" s="8" t="s">
        <v>44</v>
      </c>
      <c r="R1169" s="10" t="s">
        <v>5936</v>
      </c>
      <c r="S1169" s="11"/>
      <c r="T1169" s="6"/>
      <c r="U1169" s="28" t="str">
        <f>HYPERLINK("https://media.infra-m.ru/0521/0521769/cover/521769.jpg", "Обложка")</f>
        <v>Обложка</v>
      </c>
      <c r="V1169" s="28" t="str">
        <f>HYPERLINK("https://znanium.ru/catalog/product/407062", "Ознакомиться")</f>
        <v>Ознакомиться</v>
      </c>
      <c r="W1169" s="8"/>
      <c r="X1169" s="6"/>
      <c r="Y1169" s="6"/>
      <c r="Z1169" s="6"/>
      <c r="AA1169" s="6" t="s">
        <v>59</v>
      </c>
    </row>
    <row r="1170" spans="1:27" s="4" customFormat="1" ht="51.95" customHeight="1">
      <c r="A1170" s="5">
        <v>0</v>
      </c>
      <c r="B1170" s="6" t="s">
        <v>7157</v>
      </c>
      <c r="C1170" s="7">
        <v>1270</v>
      </c>
      <c r="D1170" s="8" t="s">
        <v>7158</v>
      </c>
      <c r="E1170" s="8" t="s">
        <v>7159</v>
      </c>
      <c r="F1170" s="8" t="s">
        <v>7160</v>
      </c>
      <c r="G1170" s="6" t="s">
        <v>37</v>
      </c>
      <c r="H1170" s="6" t="s">
        <v>38</v>
      </c>
      <c r="I1170" s="8" t="s">
        <v>39</v>
      </c>
      <c r="J1170" s="9">
        <v>1</v>
      </c>
      <c r="K1170" s="9">
        <v>276</v>
      </c>
      <c r="L1170" s="9">
        <v>2024</v>
      </c>
      <c r="M1170" s="8" t="s">
        <v>7161</v>
      </c>
      <c r="N1170" s="8" t="s">
        <v>41</v>
      </c>
      <c r="O1170" s="8" t="s">
        <v>65</v>
      </c>
      <c r="P1170" s="6" t="s">
        <v>43</v>
      </c>
      <c r="Q1170" s="8" t="s">
        <v>44</v>
      </c>
      <c r="R1170" s="10" t="s">
        <v>7162</v>
      </c>
      <c r="S1170" s="11"/>
      <c r="T1170" s="6"/>
      <c r="U1170" s="28" t="str">
        <f>HYPERLINK("https://media.infra-m.ru/2117/2117064/cover/2117064.jpg", "Обложка")</f>
        <v>Обложка</v>
      </c>
      <c r="V1170" s="28" t="str">
        <f>HYPERLINK("https://znanium.ru/catalog/product/2117064", "Ознакомиться")</f>
        <v>Ознакомиться</v>
      </c>
      <c r="W1170" s="8" t="s">
        <v>273</v>
      </c>
      <c r="X1170" s="6"/>
      <c r="Y1170" s="6"/>
      <c r="Z1170" s="6"/>
      <c r="AA1170" s="6" t="s">
        <v>141</v>
      </c>
    </row>
    <row r="1171" spans="1:27" s="4" customFormat="1" ht="51.95" customHeight="1">
      <c r="A1171" s="5">
        <v>0</v>
      </c>
      <c r="B1171" s="6" t="s">
        <v>7163</v>
      </c>
      <c r="C1171" s="7">
        <v>1520</v>
      </c>
      <c r="D1171" s="8" t="s">
        <v>7164</v>
      </c>
      <c r="E1171" s="8" t="s">
        <v>7165</v>
      </c>
      <c r="F1171" s="8" t="s">
        <v>7166</v>
      </c>
      <c r="G1171" s="6" t="s">
        <v>83</v>
      </c>
      <c r="H1171" s="6" t="s">
        <v>934</v>
      </c>
      <c r="I1171" s="8" t="s">
        <v>155</v>
      </c>
      <c r="J1171" s="9">
        <v>1</v>
      </c>
      <c r="K1171" s="9">
        <v>400</v>
      </c>
      <c r="L1171" s="9">
        <v>2022</v>
      </c>
      <c r="M1171" s="8" t="s">
        <v>7167</v>
      </c>
      <c r="N1171" s="8" t="s">
        <v>74</v>
      </c>
      <c r="O1171" s="8" t="s">
        <v>109</v>
      </c>
      <c r="P1171" s="6" t="s">
        <v>55</v>
      </c>
      <c r="Q1171" s="8" t="s">
        <v>56</v>
      </c>
      <c r="R1171" s="10" t="s">
        <v>1069</v>
      </c>
      <c r="S1171" s="11" t="s">
        <v>7168</v>
      </c>
      <c r="T1171" s="6"/>
      <c r="U1171" s="28" t="str">
        <f>HYPERLINK("https://media.infra-m.ru/1862/1862644/cover/1862644.jpg", "Обложка")</f>
        <v>Обложка</v>
      </c>
      <c r="V1171" s="12"/>
      <c r="W1171" s="8" t="s">
        <v>1472</v>
      </c>
      <c r="X1171" s="6"/>
      <c r="Y1171" s="6"/>
      <c r="Z1171" s="6"/>
      <c r="AA1171" s="6" t="s">
        <v>47</v>
      </c>
    </row>
    <row r="1172" spans="1:27" s="4" customFormat="1" ht="51.95" customHeight="1">
      <c r="A1172" s="5">
        <v>0</v>
      </c>
      <c r="B1172" s="6" t="s">
        <v>7169</v>
      </c>
      <c r="C1172" s="13">
        <v>714.9</v>
      </c>
      <c r="D1172" s="8" t="s">
        <v>7170</v>
      </c>
      <c r="E1172" s="8" t="s">
        <v>7171</v>
      </c>
      <c r="F1172" s="8" t="s">
        <v>7172</v>
      </c>
      <c r="G1172" s="6" t="s">
        <v>37</v>
      </c>
      <c r="H1172" s="6" t="s">
        <v>38</v>
      </c>
      <c r="I1172" s="8" t="s">
        <v>39</v>
      </c>
      <c r="J1172" s="9">
        <v>1</v>
      </c>
      <c r="K1172" s="9">
        <v>184</v>
      </c>
      <c r="L1172" s="9">
        <v>2022</v>
      </c>
      <c r="M1172" s="8" t="s">
        <v>7173</v>
      </c>
      <c r="N1172" s="8" t="s">
        <v>74</v>
      </c>
      <c r="O1172" s="8" t="s">
        <v>93</v>
      </c>
      <c r="P1172" s="6" t="s">
        <v>43</v>
      </c>
      <c r="Q1172" s="8" t="s">
        <v>44</v>
      </c>
      <c r="R1172" s="10" t="s">
        <v>94</v>
      </c>
      <c r="S1172" s="11"/>
      <c r="T1172" s="6"/>
      <c r="U1172" s="28" t="str">
        <f>HYPERLINK("https://media.infra-m.ru/1843/1843614/cover/1843614.jpg", "Обложка")</f>
        <v>Обложка</v>
      </c>
      <c r="V1172" s="28" t="str">
        <f>HYPERLINK("https://znanium.ru/catalog/product/918483", "Ознакомиться")</f>
        <v>Ознакомиться</v>
      </c>
      <c r="W1172" s="8" t="s">
        <v>1852</v>
      </c>
      <c r="X1172" s="6"/>
      <c r="Y1172" s="6"/>
      <c r="Z1172" s="6"/>
      <c r="AA1172" s="6" t="s">
        <v>47</v>
      </c>
    </row>
    <row r="1173" spans="1:27" s="4" customFormat="1" ht="51.95" customHeight="1">
      <c r="A1173" s="5">
        <v>0</v>
      </c>
      <c r="B1173" s="6" t="s">
        <v>7174</v>
      </c>
      <c r="C1173" s="7">
        <v>1354</v>
      </c>
      <c r="D1173" s="8" t="s">
        <v>7175</v>
      </c>
      <c r="E1173" s="8" t="s">
        <v>7176</v>
      </c>
      <c r="F1173" s="8" t="s">
        <v>7177</v>
      </c>
      <c r="G1173" s="6" t="s">
        <v>83</v>
      </c>
      <c r="H1173" s="6" t="s">
        <v>38</v>
      </c>
      <c r="I1173" s="8" t="s">
        <v>1963</v>
      </c>
      <c r="J1173" s="9">
        <v>1</v>
      </c>
      <c r="K1173" s="9">
        <v>294</v>
      </c>
      <c r="L1173" s="9">
        <v>2024</v>
      </c>
      <c r="M1173" s="8" t="s">
        <v>7178</v>
      </c>
      <c r="N1173" s="8" t="s">
        <v>74</v>
      </c>
      <c r="O1173" s="8" t="s">
        <v>93</v>
      </c>
      <c r="P1173" s="6" t="s">
        <v>55</v>
      </c>
      <c r="Q1173" s="8" t="s">
        <v>56</v>
      </c>
      <c r="R1173" s="10" t="s">
        <v>2022</v>
      </c>
      <c r="S1173" s="11" t="s">
        <v>4191</v>
      </c>
      <c r="T1173" s="6"/>
      <c r="U1173" s="28" t="str">
        <f>HYPERLINK("https://media.infra-m.ru/2109/2109033/cover/2109033.jpg", "Обложка")</f>
        <v>Обложка</v>
      </c>
      <c r="V1173" s="28" t="str">
        <f>HYPERLINK("https://znanium.ru/catalog/product/1896945", "Ознакомиться")</f>
        <v>Ознакомиться</v>
      </c>
      <c r="W1173" s="8" t="s">
        <v>140</v>
      </c>
      <c r="X1173" s="6"/>
      <c r="Y1173" s="6"/>
      <c r="Z1173" s="6"/>
      <c r="AA1173" s="6" t="s">
        <v>103</v>
      </c>
    </row>
    <row r="1174" spans="1:27" s="4" customFormat="1" ht="51.95" customHeight="1">
      <c r="A1174" s="5">
        <v>0</v>
      </c>
      <c r="B1174" s="6" t="s">
        <v>7179</v>
      </c>
      <c r="C1174" s="7">
        <v>1484</v>
      </c>
      <c r="D1174" s="8" t="s">
        <v>7180</v>
      </c>
      <c r="E1174" s="8" t="s">
        <v>7181</v>
      </c>
      <c r="F1174" s="8" t="s">
        <v>1109</v>
      </c>
      <c r="G1174" s="6" t="s">
        <v>123</v>
      </c>
      <c r="H1174" s="6" t="s">
        <v>38</v>
      </c>
      <c r="I1174" s="8" t="s">
        <v>164</v>
      </c>
      <c r="J1174" s="9">
        <v>1</v>
      </c>
      <c r="K1174" s="9">
        <v>330</v>
      </c>
      <c r="L1174" s="9">
        <v>2023</v>
      </c>
      <c r="M1174" s="8" t="s">
        <v>7182</v>
      </c>
      <c r="N1174" s="8" t="s">
        <v>74</v>
      </c>
      <c r="O1174" s="8" t="s">
        <v>93</v>
      </c>
      <c r="P1174" s="6" t="s">
        <v>176</v>
      </c>
      <c r="Q1174" s="8" t="s">
        <v>56</v>
      </c>
      <c r="R1174" s="10" t="s">
        <v>7183</v>
      </c>
      <c r="S1174" s="11" t="s">
        <v>7184</v>
      </c>
      <c r="T1174" s="6" t="s">
        <v>190</v>
      </c>
      <c r="U1174" s="28" t="str">
        <f>HYPERLINK("https://media.infra-m.ru/2002/2002636/cover/2002636.jpg", "Обложка")</f>
        <v>Обложка</v>
      </c>
      <c r="V1174" s="28" t="str">
        <f>HYPERLINK("https://znanium.ru/catalog/product/872301", "Ознакомиться")</f>
        <v>Ознакомиться</v>
      </c>
      <c r="W1174" s="8" t="s">
        <v>1111</v>
      </c>
      <c r="X1174" s="6"/>
      <c r="Y1174" s="6"/>
      <c r="Z1174" s="6"/>
      <c r="AA1174" s="6" t="s">
        <v>68</v>
      </c>
    </row>
    <row r="1175" spans="1:27" s="4" customFormat="1" ht="51.95" customHeight="1">
      <c r="A1175" s="5">
        <v>0</v>
      </c>
      <c r="B1175" s="6" t="s">
        <v>7185</v>
      </c>
      <c r="C1175" s="7">
        <v>1490</v>
      </c>
      <c r="D1175" s="8" t="s">
        <v>7186</v>
      </c>
      <c r="E1175" s="8" t="s">
        <v>7187</v>
      </c>
      <c r="F1175" s="8" t="s">
        <v>1109</v>
      </c>
      <c r="G1175" s="6" t="s">
        <v>83</v>
      </c>
      <c r="H1175" s="6" t="s">
        <v>38</v>
      </c>
      <c r="I1175" s="8" t="s">
        <v>164</v>
      </c>
      <c r="J1175" s="9">
        <v>1</v>
      </c>
      <c r="K1175" s="9">
        <v>315</v>
      </c>
      <c r="L1175" s="9">
        <v>2023</v>
      </c>
      <c r="M1175" s="8" t="s">
        <v>7188</v>
      </c>
      <c r="N1175" s="8" t="s">
        <v>74</v>
      </c>
      <c r="O1175" s="8" t="s">
        <v>93</v>
      </c>
      <c r="P1175" s="6" t="s">
        <v>176</v>
      </c>
      <c r="Q1175" s="8" t="s">
        <v>56</v>
      </c>
      <c r="R1175" s="10" t="s">
        <v>7189</v>
      </c>
      <c r="S1175" s="11" t="s">
        <v>7190</v>
      </c>
      <c r="T1175" s="6" t="s">
        <v>190</v>
      </c>
      <c r="U1175" s="28" t="str">
        <f>HYPERLINK("https://media.infra-m.ru/1914/1914152/cover/1914152.jpg", "Обложка")</f>
        <v>Обложка</v>
      </c>
      <c r="V1175" s="28" t="str">
        <f>HYPERLINK("https://znanium.ru/catalog/product/1914152", "Ознакомиться")</f>
        <v>Ознакомиться</v>
      </c>
      <c r="W1175" s="8" t="s">
        <v>1111</v>
      </c>
      <c r="X1175" s="6"/>
      <c r="Y1175" s="6"/>
      <c r="Z1175" s="6"/>
      <c r="AA1175" s="6" t="s">
        <v>68</v>
      </c>
    </row>
    <row r="1176" spans="1:27" s="4" customFormat="1" ht="51.95" customHeight="1">
      <c r="A1176" s="5">
        <v>0</v>
      </c>
      <c r="B1176" s="6" t="s">
        <v>7191</v>
      </c>
      <c r="C1176" s="7">
        <v>1494</v>
      </c>
      <c r="D1176" s="8" t="s">
        <v>7192</v>
      </c>
      <c r="E1176" s="8" t="s">
        <v>7193</v>
      </c>
      <c r="F1176" s="8" t="s">
        <v>1109</v>
      </c>
      <c r="G1176" s="6" t="s">
        <v>83</v>
      </c>
      <c r="H1176" s="6" t="s">
        <v>38</v>
      </c>
      <c r="I1176" s="8" t="s">
        <v>164</v>
      </c>
      <c r="J1176" s="9">
        <v>1</v>
      </c>
      <c r="K1176" s="9">
        <v>326</v>
      </c>
      <c r="L1176" s="9">
        <v>2023</v>
      </c>
      <c r="M1176" s="8" t="s">
        <v>7194</v>
      </c>
      <c r="N1176" s="8" t="s">
        <v>74</v>
      </c>
      <c r="O1176" s="8" t="s">
        <v>93</v>
      </c>
      <c r="P1176" s="6" t="s">
        <v>176</v>
      </c>
      <c r="Q1176" s="8" t="s">
        <v>56</v>
      </c>
      <c r="R1176" s="10" t="s">
        <v>7195</v>
      </c>
      <c r="S1176" s="11" t="s">
        <v>7196</v>
      </c>
      <c r="T1176" s="6" t="s">
        <v>190</v>
      </c>
      <c r="U1176" s="28" t="str">
        <f>HYPERLINK("https://media.infra-m.ru/1908/1908205/cover/1908205.jpg", "Обложка")</f>
        <v>Обложка</v>
      </c>
      <c r="V1176" s="28" t="str">
        <f>HYPERLINK("https://znanium.ru/catalog/product/1908205", "Ознакомиться")</f>
        <v>Ознакомиться</v>
      </c>
      <c r="W1176" s="8" t="s">
        <v>1111</v>
      </c>
      <c r="X1176" s="6"/>
      <c r="Y1176" s="6"/>
      <c r="Z1176" s="6"/>
      <c r="AA1176" s="6" t="s">
        <v>1006</v>
      </c>
    </row>
    <row r="1177" spans="1:27" s="4" customFormat="1" ht="51.95" customHeight="1">
      <c r="A1177" s="5">
        <v>0</v>
      </c>
      <c r="B1177" s="6" t="s">
        <v>7197</v>
      </c>
      <c r="C1177" s="7">
        <v>1480</v>
      </c>
      <c r="D1177" s="8" t="s">
        <v>7198</v>
      </c>
      <c r="E1177" s="8" t="s">
        <v>7199</v>
      </c>
      <c r="F1177" s="8" t="s">
        <v>1109</v>
      </c>
      <c r="G1177" s="6" t="s">
        <v>83</v>
      </c>
      <c r="H1177" s="6" t="s">
        <v>38</v>
      </c>
      <c r="I1177" s="8" t="s">
        <v>164</v>
      </c>
      <c r="J1177" s="9">
        <v>1</v>
      </c>
      <c r="K1177" s="9">
        <v>320</v>
      </c>
      <c r="L1177" s="9">
        <v>2023</v>
      </c>
      <c r="M1177" s="8" t="s">
        <v>7200</v>
      </c>
      <c r="N1177" s="8" t="s">
        <v>74</v>
      </c>
      <c r="O1177" s="8" t="s">
        <v>93</v>
      </c>
      <c r="P1177" s="6" t="s">
        <v>176</v>
      </c>
      <c r="Q1177" s="8" t="s">
        <v>56</v>
      </c>
      <c r="R1177" s="10" t="s">
        <v>178</v>
      </c>
      <c r="S1177" s="11" t="s">
        <v>7201</v>
      </c>
      <c r="T1177" s="6" t="s">
        <v>190</v>
      </c>
      <c r="U1177" s="28" t="str">
        <f>HYPERLINK("https://media.infra-m.ru/2125/2125354/cover/2125354.jpg", "Обложка")</f>
        <v>Обложка</v>
      </c>
      <c r="V1177" s="28" t="str">
        <f>HYPERLINK("https://znanium.ru/catalog/product/2125354", "Ознакомиться")</f>
        <v>Ознакомиться</v>
      </c>
      <c r="W1177" s="8" t="s">
        <v>1111</v>
      </c>
      <c r="X1177" s="6"/>
      <c r="Y1177" s="6"/>
      <c r="Z1177" s="6"/>
      <c r="AA1177" s="6" t="s">
        <v>150</v>
      </c>
    </row>
    <row r="1178" spans="1:27" s="4" customFormat="1" ht="51.95" customHeight="1">
      <c r="A1178" s="5">
        <v>0</v>
      </c>
      <c r="B1178" s="6" t="s">
        <v>7202</v>
      </c>
      <c r="C1178" s="7">
        <v>1530</v>
      </c>
      <c r="D1178" s="8" t="s">
        <v>7203</v>
      </c>
      <c r="E1178" s="8" t="s">
        <v>7204</v>
      </c>
      <c r="F1178" s="8" t="s">
        <v>1109</v>
      </c>
      <c r="G1178" s="6" t="s">
        <v>83</v>
      </c>
      <c r="H1178" s="6" t="s">
        <v>38</v>
      </c>
      <c r="I1178" s="8" t="s">
        <v>155</v>
      </c>
      <c r="J1178" s="9">
        <v>1</v>
      </c>
      <c r="K1178" s="9">
        <v>333</v>
      </c>
      <c r="L1178" s="9">
        <v>2023</v>
      </c>
      <c r="M1178" s="8" t="s">
        <v>7205</v>
      </c>
      <c r="N1178" s="8" t="s">
        <v>74</v>
      </c>
      <c r="O1178" s="8" t="s">
        <v>93</v>
      </c>
      <c r="P1178" s="6" t="s">
        <v>176</v>
      </c>
      <c r="Q1178" s="8" t="s">
        <v>177</v>
      </c>
      <c r="R1178" s="10" t="s">
        <v>7206</v>
      </c>
      <c r="S1178" s="11" t="s">
        <v>7207</v>
      </c>
      <c r="T1178" s="6" t="s">
        <v>190</v>
      </c>
      <c r="U1178" s="28" t="str">
        <f>HYPERLINK("https://media.infra-m.ru/2071/2071640/cover/2071640.jpg", "Обложка")</f>
        <v>Обложка</v>
      </c>
      <c r="V1178" s="28" t="str">
        <f>HYPERLINK("https://znanium.ru/catalog/product/1862067", "Ознакомиться")</f>
        <v>Ознакомиться</v>
      </c>
      <c r="W1178" s="8" t="s">
        <v>1111</v>
      </c>
      <c r="X1178" s="6"/>
      <c r="Y1178" s="6"/>
      <c r="Z1178" s="6"/>
      <c r="AA1178" s="6" t="s">
        <v>768</v>
      </c>
    </row>
    <row r="1179" spans="1:27" s="4" customFormat="1" ht="42" customHeight="1">
      <c r="A1179" s="5">
        <v>0</v>
      </c>
      <c r="B1179" s="6" t="s">
        <v>7208</v>
      </c>
      <c r="C1179" s="7">
        <v>1660</v>
      </c>
      <c r="D1179" s="8" t="s">
        <v>7209</v>
      </c>
      <c r="E1179" s="8" t="s">
        <v>7210</v>
      </c>
      <c r="F1179" s="8" t="s">
        <v>7211</v>
      </c>
      <c r="G1179" s="6" t="s">
        <v>83</v>
      </c>
      <c r="H1179" s="6" t="s">
        <v>618</v>
      </c>
      <c r="I1179" s="8"/>
      <c r="J1179" s="9">
        <v>1</v>
      </c>
      <c r="K1179" s="9">
        <v>368</v>
      </c>
      <c r="L1179" s="9">
        <v>2023</v>
      </c>
      <c r="M1179" s="8" t="s">
        <v>7212</v>
      </c>
      <c r="N1179" s="8" t="s">
        <v>74</v>
      </c>
      <c r="O1179" s="8" t="s">
        <v>93</v>
      </c>
      <c r="P1179" s="6" t="s">
        <v>176</v>
      </c>
      <c r="Q1179" s="8" t="s">
        <v>56</v>
      </c>
      <c r="R1179" s="10" t="s">
        <v>7206</v>
      </c>
      <c r="S1179" s="11"/>
      <c r="T1179" s="6"/>
      <c r="U1179" s="28" t="str">
        <f>HYPERLINK("https://media.infra-m.ru/1980/1980008/cover/1980008.jpg", "Обложка")</f>
        <v>Обложка</v>
      </c>
      <c r="V1179" s="28" t="str">
        <f>HYPERLINK("https://znanium.ru/catalog/product/1980008", "Ознакомиться")</f>
        <v>Ознакомиться</v>
      </c>
      <c r="W1179" s="8" t="s">
        <v>1334</v>
      </c>
      <c r="X1179" s="6"/>
      <c r="Y1179" s="6"/>
      <c r="Z1179" s="6"/>
      <c r="AA1179" s="6" t="s">
        <v>78</v>
      </c>
    </row>
    <row r="1180" spans="1:27" s="4" customFormat="1" ht="51.95" customHeight="1">
      <c r="A1180" s="5">
        <v>0</v>
      </c>
      <c r="B1180" s="6" t="s">
        <v>7213</v>
      </c>
      <c r="C1180" s="13">
        <v>590</v>
      </c>
      <c r="D1180" s="8" t="s">
        <v>7214</v>
      </c>
      <c r="E1180" s="8" t="s">
        <v>7215</v>
      </c>
      <c r="F1180" s="8" t="s">
        <v>7216</v>
      </c>
      <c r="G1180" s="6" t="s">
        <v>37</v>
      </c>
      <c r="H1180" s="6" t="s">
        <v>38</v>
      </c>
      <c r="I1180" s="8" t="s">
        <v>884</v>
      </c>
      <c r="J1180" s="9">
        <v>1</v>
      </c>
      <c r="K1180" s="9">
        <v>128</v>
      </c>
      <c r="L1180" s="9">
        <v>2024</v>
      </c>
      <c r="M1180" s="8" t="s">
        <v>7217</v>
      </c>
      <c r="N1180" s="8" t="s">
        <v>74</v>
      </c>
      <c r="O1180" s="8" t="s">
        <v>93</v>
      </c>
      <c r="P1180" s="6" t="s">
        <v>176</v>
      </c>
      <c r="Q1180" s="8" t="s">
        <v>594</v>
      </c>
      <c r="R1180" s="10" t="s">
        <v>7218</v>
      </c>
      <c r="S1180" s="11" t="s">
        <v>7219</v>
      </c>
      <c r="T1180" s="6"/>
      <c r="U1180" s="28" t="str">
        <f>HYPERLINK("https://media.infra-m.ru/2111/2111342/cover/2111342.jpg", "Обложка")</f>
        <v>Обложка</v>
      </c>
      <c r="V1180" s="28" t="str">
        <f>HYPERLINK("https://znanium.ru/catalog/product/2111342", "Ознакомиться")</f>
        <v>Ознакомиться</v>
      </c>
      <c r="W1180" s="8" t="s">
        <v>3394</v>
      </c>
      <c r="X1180" s="6"/>
      <c r="Y1180" s="6"/>
      <c r="Z1180" s="6"/>
      <c r="AA1180" s="6" t="s">
        <v>59</v>
      </c>
    </row>
    <row r="1181" spans="1:27" s="4" customFormat="1" ht="42" customHeight="1">
      <c r="A1181" s="5">
        <v>0</v>
      </c>
      <c r="B1181" s="6" t="s">
        <v>7220</v>
      </c>
      <c r="C1181" s="13">
        <v>820</v>
      </c>
      <c r="D1181" s="8" t="s">
        <v>7221</v>
      </c>
      <c r="E1181" s="8" t="s">
        <v>7215</v>
      </c>
      <c r="F1181" s="8" t="s">
        <v>7222</v>
      </c>
      <c r="G1181" s="6" t="s">
        <v>37</v>
      </c>
      <c r="H1181" s="6" t="s">
        <v>38</v>
      </c>
      <c r="I1181" s="8" t="s">
        <v>2148</v>
      </c>
      <c r="J1181" s="9">
        <v>1</v>
      </c>
      <c r="K1181" s="9">
        <v>176</v>
      </c>
      <c r="L1181" s="9">
        <v>2024</v>
      </c>
      <c r="M1181" s="8" t="s">
        <v>7223</v>
      </c>
      <c r="N1181" s="8" t="s">
        <v>74</v>
      </c>
      <c r="O1181" s="8" t="s">
        <v>93</v>
      </c>
      <c r="P1181" s="6" t="s">
        <v>55</v>
      </c>
      <c r="Q1181" s="8" t="s">
        <v>485</v>
      </c>
      <c r="R1181" s="10" t="s">
        <v>1541</v>
      </c>
      <c r="S1181" s="11"/>
      <c r="T1181" s="6"/>
      <c r="U1181" s="28" t="str">
        <f>HYPERLINK("https://media.infra-m.ru/2080/2080540/cover/2080540.jpg", "Обложка")</f>
        <v>Обложка</v>
      </c>
      <c r="V1181" s="28" t="str">
        <f>HYPERLINK("https://znanium.ru/catalog/product/2080540", "Ознакомиться")</f>
        <v>Ознакомиться</v>
      </c>
      <c r="W1181" s="8" t="s">
        <v>7224</v>
      </c>
      <c r="X1181" s="6"/>
      <c r="Y1181" s="6"/>
      <c r="Z1181" s="6"/>
      <c r="AA1181" s="6" t="s">
        <v>290</v>
      </c>
    </row>
    <row r="1182" spans="1:27" s="4" customFormat="1" ht="42" customHeight="1">
      <c r="A1182" s="5">
        <v>0</v>
      </c>
      <c r="B1182" s="6" t="s">
        <v>7225</v>
      </c>
      <c r="C1182" s="13">
        <v>734</v>
      </c>
      <c r="D1182" s="8" t="s">
        <v>7226</v>
      </c>
      <c r="E1182" s="8" t="s">
        <v>7227</v>
      </c>
      <c r="F1182" s="8" t="s">
        <v>145</v>
      </c>
      <c r="G1182" s="6" t="s">
        <v>37</v>
      </c>
      <c r="H1182" s="6" t="s">
        <v>470</v>
      </c>
      <c r="I1182" s="8" t="s">
        <v>1040</v>
      </c>
      <c r="J1182" s="9">
        <v>1</v>
      </c>
      <c r="K1182" s="9">
        <v>160</v>
      </c>
      <c r="L1182" s="9">
        <v>2024</v>
      </c>
      <c r="M1182" s="8" t="s">
        <v>7228</v>
      </c>
      <c r="N1182" s="8" t="s">
        <v>41</v>
      </c>
      <c r="O1182" s="8" t="s">
        <v>54</v>
      </c>
      <c r="P1182" s="6" t="s">
        <v>43</v>
      </c>
      <c r="Q1182" s="8" t="s">
        <v>44</v>
      </c>
      <c r="R1182" s="10" t="s">
        <v>7229</v>
      </c>
      <c r="S1182" s="11"/>
      <c r="T1182" s="6"/>
      <c r="U1182" s="28" t="str">
        <f>HYPERLINK("https://media.infra-m.ru/2102/2102714/cover/2102714.jpg", "Обложка")</f>
        <v>Обложка</v>
      </c>
      <c r="V1182" s="28" t="str">
        <f>HYPERLINK("https://znanium.ru/catalog/product/1594713", "Ознакомиться")</f>
        <v>Ознакомиться</v>
      </c>
      <c r="W1182" s="8" t="s">
        <v>149</v>
      </c>
      <c r="X1182" s="6"/>
      <c r="Y1182" s="6"/>
      <c r="Z1182" s="6"/>
      <c r="AA1182" s="6" t="s">
        <v>169</v>
      </c>
    </row>
    <row r="1183" spans="1:27" s="4" customFormat="1" ht="51.95" customHeight="1">
      <c r="A1183" s="5">
        <v>0</v>
      </c>
      <c r="B1183" s="6" t="s">
        <v>7230</v>
      </c>
      <c r="C1183" s="7">
        <v>1570</v>
      </c>
      <c r="D1183" s="8" t="s">
        <v>7231</v>
      </c>
      <c r="E1183" s="8" t="s">
        <v>7232</v>
      </c>
      <c r="F1183" s="8" t="s">
        <v>7233</v>
      </c>
      <c r="G1183" s="6" t="s">
        <v>83</v>
      </c>
      <c r="H1183" s="6" t="s">
        <v>38</v>
      </c>
      <c r="I1183" s="8" t="s">
        <v>2643</v>
      </c>
      <c r="J1183" s="9">
        <v>1</v>
      </c>
      <c r="K1183" s="9">
        <v>413</v>
      </c>
      <c r="L1183" s="9">
        <v>2022</v>
      </c>
      <c r="M1183" s="8" t="s">
        <v>7234</v>
      </c>
      <c r="N1183" s="8" t="s">
        <v>74</v>
      </c>
      <c r="O1183" s="8" t="s">
        <v>93</v>
      </c>
      <c r="P1183" s="6" t="s">
        <v>55</v>
      </c>
      <c r="Q1183" s="8" t="s">
        <v>594</v>
      </c>
      <c r="R1183" s="10" t="s">
        <v>7235</v>
      </c>
      <c r="S1183" s="11" t="s">
        <v>7236</v>
      </c>
      <c r="T1183" s="6"/>
      <c r="U1183" s="28" t="str">
        <f>HYPERLINK("https://media.infra-m.ru/1844/1844421/cover/1844421.jpg", "Обложка")</f>
        <v>Обложка</v>
      </c>
      <c r="V1183" s="12"/>
      <c r="W1183" s="8" t="s">
        <v>7237</v>
      </c>
      <c r="X1183" s="6"/>
      <c r="Y1183" s="6"/>
      <c r="Z1183" s="6"/>
      <c r="AA1183" s="6" t="s">
        <v>68</v>
      </c>
    </row>
    <row r="1184" spans="1:27" s="4" customFormat="1" ht="42" customHeight="1">
      <c r="A1184" s="5">
        <v>0</v>
      </c>
      <c r="B1184" s="6" t="s">
        <v>7238</v>
      </c>
      <c r="C1184" s="7">
        <v>1554.9</v>
      </c>
      <c r="D1184" s="8" t="s">
        <v>7239</v>
      </c>
      <c r="E1184" s="8" t="s">
        <v>7240</v>
      </c>
      <c r="F1184" s="8" t="s">
        <v>7241</v>
      </c>
      <c r="G1184" s="6" t="s">
        <v>123</v>
      </c>
      <c r="H1184" s="6" t="s">
        <v>934</v>
      </c>
      <c r="I1184" s="8" t="s">
        <v>155</v>
      </c>
      <c r="J1184" s="9">
        <v>1</v>
      </c>
      <c r="K1184" s="9">
        <v>408</v>
      </c>
      <c r="L1184" s="9">
        <v>2022</v>
      </c>
      <c r="M1184" s="8" t="s">
        <v>7242</v>
      </c>
      <c r="N1184" s="8" t="s">
        <v>74</v>
      </c>
      <c r="O1184" s="8" t="s">
        <v>93</v>
      </c>
      <c r="P1184" s="6" t="s">
        <v>55</v>
      </c>
      <c r="Q1184" s="8" t="s">
        <v>56</v>
      </c>
      <c r="R1184" s="10" t="s">
        <v>1541</v>
      </c>
      <c r="S1184" s="11"/>
      <c r="T1184" s="6"/>
      <c r="U1184" s="28" t="str">
        <f>HYPERLINK("https://media.infra-m.ru/1072/1072286/cover/1072286.jpg", "Обложка")</f>
        <v>Обложка</v>
      </c>
      <c r="V1184" s="28" t="str">
        <f>HYPERLINK("https://znanium.ru/catalog/product/1072286", "Ознакомиться")</f>
        <v>Ознакомиться</v>
      </c>
      <c r="W1184" s="8" t="s">
        <v>297</v>
      </c>
      <c r="X1184" s="6"/>
      <c r="Y1184" s="6"/>
      <c r="Z1184" s="6"/>
      <c r="AA1184" s="6" t="s">
        <v>96</v>
      </c>
    </row>
    <row r="1185" spans="1:27" s="4" customFormat="1" ht="51.95" customHeight="1">
      <c r="A1185" s="5">
        <v>0</v>
      </c>
      <c r="B1185" s="6" t="s">
        <v>7243</v>
      </c>
      <c r="C1185" s="7">
        <v>1094</v>
      </c>
      <c r="D1185" s="8" t="s">
        <v>7244</v>
      </c>
      <c r="E1185" s="8" t="s">
        <v>7245</v>
      </c>
      <c r="F1185" s="8" t="s">
        <v>7246</v>
      </c>
      <c r="G1185" s="6" t="s">
        <v>37</v>
      </c>
      <c r="H1185" s="6" t="s">
        <v>470</v>
      </c>
      <c r="I1185" s="8" t="s">
        <v>1040</v>
      </c>
      <c r="J1185" s="9">
        <v>1</v>
      </c>
      <c r="K1185" s="9">
        <v>238</v>
      </c>
      <c r="L1185" s="9">
        <v>2024</v>
      </c>
      <c r="M1185" s="8" t="s">
        <v>7247</v>
      </c>
      <c r="N1185" s="8" t="s">
        <v>74</v>
      </c>
      <c r="O1185" s="8" t="s">
        <v>93</v>
      </c>
      <c r="P1185" s="6" t="s">
        <v>43</v>
      </c>
      <c r="Q1185" s="8" t="s">
        <v>1340</v>
      </c>
      <c r="R1185" s="10" t="s">
        <v>7248</v>
      </c>
      <c r="S1185" s="11"/>
      <c r="T1185" s="6"/>
      <c r="U1185" s="28" t="str">
        <f>HYPERLINK("https://media.infra-m.ru/2088/2088254/cover/2088254.jpg", "Обложка")</f>
        <v>Обложка</v>
      </c>
      <c r="V1185" s="28" t="str">
        <f>HYPERLINK("https://znanium.ru/catalog/product/1010766", "Ознакомиться")</f>
        <v>Ознакомиться</v>
      </c>
      <c r="W1185" s="8" t="s">
        <v>149</v>
      </c>
      <c r="X1185" s="6"/>
      <c r="Y1185" s="6"/>
      <c r="Z1185" s="6"/>
      <c r="AA1185" s="6" t="s">
        <v>676</v>
      </c>
    </row>
    <row r="1186" spans="1:27" s="4" customFormat="1" ht="51.95" customHeight="1">
      <c r="A1186" s="5">
        <v>0</v>
      </c>
      <c r="B1186" s="6" t="s">
        <v>7249</v>
      </c>
      <c r="C1186" s="7">
        <v>1490</v>
      </c>
      <c r="D1186" s="8" t="s">
        <v>7250</v>
      </c>
      <c r="E1186" s="8" t="s">
        <v>7251</v>
      </c>
      <c r="F1186" s="8" t="s">
        <v>7252</v>
      </c>
      <c r="G1186" s="6" t="s">
        <v>123</v>
      </c>
      <c r="H1186" s="6" t="s">
        <v>38</v>
      </c>
      <c r="I1186" s="8" t="s">
        <v>155</v>
      </c>
      <c r="J1186" s="9">
        <v>1</v>
      </c>
      <c r="K1186" s="9">
        <v>312</v>
      </c>
      <c r="L1186" s="9">
        <v>2023</v>
      </c>
      <c r="M1186" s="8" t="s">
        <v>7253</v>
      </c>
      <c r="N1186" s="8" t="s">
        <v>74</v>
      </c>
      <c r="O1186" s="8" t="s">
        <v>93</v>
      </c>
      <c r="P1186" s="6" t="s">
        <v>176</v>
      </c>
      <c r="Q1186" s="8" t="s">
        <v>56</v>
      </c>
      <c r="R1186" s="10" t="s">
        <v>7254</v>
      </c>
      <c r="S1186" s="11" t="s">
        <v>7255</v>
      </c>
      <c r="T1186" s="6"/>
      <c r="U1186" s="28" t="str">
        <f>HYPERLINK("https://media.infra-m.ru/1865/1865671/cover/1865671.jpg", "Обложка")</f>
        <v>Обложка</v>
      </c>
      <c r="V1186" s="28" t="str">
        <f>HYPERLINK("https://znanium.ru/catalog/product/1865671", "Ознакомиться")</f>
        <v>Ознакомиться</v>
      </c>
      <c r="W1186" s="8" t="s">
        <v>2343</v>
      </c>
      <c r="X1186" s="6" t="s">
        <v>641</v>
      </c>
      <c r="Y1186" s="6"/>
      <c r="Z1186" s="6"/>
      <c r="AA1186" s="6" t="s">
        <v>111</v>
      </c>
    </row>
    <row r="1187" spans="1:27" s="4" customFormat="1" ht="42" customHeight="1">
      <c r="A1187" s="5">
        <v>0</v>
      </c>
      <c r="B1187" s="6" t="s">
        <v>7256</v>
      </c>
      <c r="C1187" s="7">
        <v>1790</v>
      </c>
      <c r="D1187" s="8" t="s">
        <v>7257</v>
      </c>
      <c r="E1187" s="8" t="s">
        <v>7258</v>
      </c>
      <c r="F1187" s="8" t="s">
        <v>7259</v>
      </c>
      <c r="G1187" s="6" t="s">
        <v>83</v>
      </c>
      <c r="H1187" s="6" t="s">
        <v>470</v>
      </c>
      <c r="I1187" s="8"/>
      <c r="J1187" s="9">
        <v>1</v>
      </c>
      <c r="K1187" s="9">
        <v>388</v>
      </c>
      <c r="L1187" s="9">
        <v>2024</v>
      </c>
      <c r="M1187" s="8" t="s">
        <v>7260</v>
      </c>
      <c r="N1187" s="8" t="s">
        <v>74</v>
      </c>
      <c r="O1187" s="8" t="s">
        <v>93</v>
      </c>
      <c r="P1187" s="6" t="s">
        <v>176</v>
      </c>
      <c r="Q1187" s="8" t="s">
        <v>56</v>
      </c>
      <c r="R1187" s="10" t="s">
        <v>7261</v>
      </c>
      <c r="S1187" s="11"/>
      <c r="T1187" s="6"/>
      <c r="U1187" s="28" t="str">
        <f>HYPERLINK("https://media.infra-m.ru/1915/1915954/cover/1915954.jpg", "Обложка")</f>
        <v>Обложка</v>
      </c>
      <c r="V1187" s="28" t="str">
        <f>HYPERLINK("https://znanium.ru/catalog/product/1915954", "Ознакомиться")</f>
        <v>Ознакомиться</v>
      </c>
      <c r="W1187" s="8" t="s">
        <v>557</v>
      </c>
      <c r="X1187" s="6"/>
      <c r="Y1187" s="6"/>
      <c r="Z1187" s="6"/>
      <c r="AA1187" s="6" t="s">
        <v>1772</v>
      </c>
    </row>
    <row r="1188" spans="1:27" s="4" customFormat="1" ht="51.95" customHeight="1">
      <c r="A1188" s="5">
        <v>0</v>
      </c>
      <c r="B1188" s="6" t="s">
        <v>7262</v>
      </c>
      <c r="C1188" s="7">
        <v>1670</v>
      </c>
      <c r="D1188" s="8" t="s">
        <v>7263</v>
      </c>
      <c r="E1188" s="8" t="s">
        <v>7258</v>
      </c>
      <c r="F1188" s="8" t="s">
        <v>7264</v>
      </c>
      <c r="G1188" s="6" t="s">
        <v>83</v>
      </c>
      <c r="H1188" s="6" t="s">
        <v>38</v>
      </c>
      <c r="I1188" s="8" t="s">
        <v>164</v>
      </c>
      <c r="J1188" s="9">
        <v>1</v>
      </c>
      <c r="K1188" s="9">
        <v>370</v>
      </c>
      <c r="L1188" s="9">
        <v>2023</v>
      </c>
      <c r="M1188" s="8" t="s">
        <v>7265</v>
      </c>
      <c r="N1188" s="8" t="s">
        <v>74</v>
      </c>
      <c r="O1188" s="8" t="s">
        <v>93</v>
      </c>
      <c r="P1188" s="6" t="s">
        <v>55</v>
      </c>
      <c r="Q1188" s="8" t="s">
        <v>56</v>
      </c>
      <c r="R1188" s="10" t="s">
        <v>7266</v>
      </c>
      <c r="S1188" s="11" t="s">
        <v>7267</v>
      </c>
      <c r="T1188" s="6"/>
      <c r="U1188" s="28" t="str">
        <f>HYPERLINK("https://media.infra-m.ru/1941/1941757/cover/1941757.jpg", "Обложка")</f>
        <v>Обложка</v>
      </c>
      <c r="V1188" s="28" t="str">
        <f>HYPERLINK("https://znanium.ru/catalog/product/1941757", "Ознакомиться")</f>
        <v>Ознакомиться</v>
      </c>
      <c r="W1188" s="8" t="s">
        <v>210</v>
      </c>
      <c r="X1188" s="6"/>
      <c r="Y1188" s="6"/>
      <c r="Z1188" s="6"/>
      <c r="AA1188" s="6" t="s">
        <v>768</v>
      </c>
    </row>
    <row r="1189" spans="1:27" s="4" customFormat="1" ht="51.95" customHeight="1">
      <c r="A1189" s="5">
        <v>0</v>
      </c>
      <c r="B1189" s="6" t="s">
        <v>7268</v>
      </c>
      <c r="C1189" s="13">
        <v>900</v>
      </c>
      <c r="D1189" s="8" t="s">
        <v>7269</v>
      </c>
      <c r="E1189" s="8" t="s">
        <v>7270</v>
      </c>
      <c r="F1189" s="8" t="s">
        <v>7271</v>
      </c>
      <c r="G1189" s="6" t="s">
        <v>37</v>
      </c>
      <c r="H1189" s="6" t="s">
        <v>38</v>
      </c>
      <c r="I1189" s="8" t="s">
        <v>884</v>
      </c>
      <c r="J1189" s="9">
        <v>1</v>
      </c>
      <c r="K1189" s="9">
        <v>192</v>
      </c>
      <c r="L1189" s="9">
        <v>2023</v>
      </c>
      <c r="M1189" s="8" t="s">
        <v>7272</v>
      </c>
      <c r="N1189" s="8" t="s">
        <v>74</v>
      </c>
      <c r="O1189" s="8" t="s">
        <v>93</v>
      </c>
      <c r="P1189" s="6" t="s">
        <v>55</v>
      </c>
      <c r="Q1189" s="8" t="s">
        <v>594</v>
      </c>
      <c r="R1189" s="10" t="s">
        <v>7273</v>
      </c>
      <c r="S1189" s="11" t="s">
        <v>7274</v>
      </c>
      <c r="T1189" s="6"/>
      <c r="U1189" s="28" t="str">
        <f>HYPERLINK("https://media.infra-m.ru/2013/2013648/cover/2013648.jpg", "Обложка")</f>
        <v>Обложка</v>
      </c>
      <c r="V1189" s="28" t="str">
        <f>HYPERLINK("https://znanium.ru/catalog/product/937308", "Ознакомиться")</f>
        <v>Ознакомиться</v>
      </c>
      <c r="W1189" s="8" t="s">
        <v>998</v>
      </c>
      <c r="X1189" s="6"/>
      <c r="Y1189" s="6"/>
      <c r="Z1189" s="6"/>
      <c r="AA1189" s="6" t="s">
        <v>59</v>
      </c>
    </row>
    <row r="1190" spans="1:27" s="4" customFormat="1" ht="42" customHeight="1">
      <c r="A1190" s="5">
        <v>0</v>
      </c>
      <c r="B1190" s="6" t="s">
        <v>7275</v>
      </c>
      <c r="C1190" s="7">
        <v>1970</v>
      </c>
      <c r="D1190" s="8" t="s">
        <v>7276</v>
      </c>
      <c r="E1190" s="8" t="s">
        <v>7277</v>
      </c>
      <c r="F1190" s="8" t="s">
        <v>7278</v>
      </c>
      <c r="G1190" s="6" t="s">
        <v>83</v>
      </c>
      <c r="H1190" s="6" t="s">
        <v>618</v>
      </c>
      <c r="I1190" s="8"/>
      <c r="J1190" s="9">
        <v>1</v>
      </c>
      <c r="K1190" s="9">
        <v>432</v>
      </c>
      <c r="L1190" s="9">
        <v>2023</v>
      </c>
      <c r="M1190" s="8" t="s">
        <v>7279</v>
      </c>
      <c r="N1190" s="8" t="s">
        <v>74</v>
      </c>
      <c r="O1190" s="8" t="s">
        <v>93</v>
      </c>
      <c r="P1190" s="6" t="s">
        <v>176</v>
      </c>
      <c r="Q1190" s="8" t="s">
        <v>594</v>
      </c>
      <c r="R1190" s="10" t="s">
        <v>6334</v>
      </c>
      <c r="S1190" s="11"/>
      <c r="T1190" s="6"/>
      <c r="U1190" s="28" t="str">
        <f>HYPERLINK("https://media.infra-m.ru/1977/1977963/cover/1977963.jpg", "Обложка")</f>
        <v>Обложка</v>
      </c>
      <c r="V1190" s="28" t="str">
        <f>HYPERLINK("https://znanium.ru/catalog/product/1977963", "Ознакомиться")</f>
        <v>Ознакомиться</v>
      </c>
      <c r="W1190" s="8" t="s">
        <v>1841</v>
      </c>
      <c r="X1190" s="6"/>
      <c r="Y1190" s="6"/>
      <c r="Z1190" s="6"/>
      <c r="AA1190" s="6" t="s">
        <v>3165</v>
      </c>
    </row>
    <row r="1191" spans="1:27" s="4" customFormat="1" ht="51.95" customHeight="1">
      <c r="A1191" s="5">
        <v>0</v>
      </c>
      <c r="B1191" s="6" t="s">
        <v>7280</v>
      </c>
      <c r="C1191" s="7">
        <v>1534</v>
      </c>
      <c r="D1191" s="8" t="s">
        <v>7281</v>
      </c>
      <c r="E1191" s="8" t="s">
        <v>7282</v>
      </c>
      <c r="F1191" s="8" t="s">
        <v>7283</v>
      </c>
      <c r="G1191" s="6" t="s">
        <v>83</v>
      </c>
      <c r="H1191" s="6" t="s">
        <v>38</v>
      </c>
      <c r="I1191" s="8" t="s">
        <v>2148</v>
      </c>
      <c r="J1191" s="9">
        <v>1</v>
      </c>
      <c r="K1191" s="9">
        <v>333</v>
      </c>
      <c r="L1191" s="9">
        <v>2024</v>
      </c>
      <c r="M1191" s="8" t="s">
        <v>7284</v>
      </c>
      <c r="N1191" s="8" t="s">
        <v>74</v>
      </c>
      <c r="O1191" s="8" t="s">
        <v>93</v>
      </c>
      <c r="P1191" s="6" t="s">
        <v>55</v>
      </c>
      <c r="Q1191" s="8" t="s">
        <v>485</v>
      </c>
      <c r="R1191" s="10" t="s">
        <v>7285</v>
      </c>
      <c r="S1191" s="11" t="s">
        <v>7286</v>
      </c>
      <c r="T1191" s="6"/>
      <c r="U1191" s="28" t="str">
        <f>HYPERLINK("https://media.infra-m.ru/2061/2061219/cover/2061219.jpg", "Обложка")</f>
        <v>Обложка</v>
      </c>
      <c r="V1191" s="28" t="str">
        <f>HYPERLINK("https://znanium.ru/catalog/product/1936321", "Ознакомиться")</f>
        <v>Ознакомиться</v>
      </c>
      <c r="W1191" s="8" t="s">
        <v>969</v>
      </c>
      <c r="X1191" s="6"/>
      <c r="Y1191" s="6"/>
      <c r="Z1191" s="6"/>
      <c r="AA1191" s="6" t="s">
        <v>2336</v>
      </c>
    </row>
    <row r="1192" spans="1:27" s="4" customFormat="1" ht="51.95" customHeight="1">
      <c r="A1192" s="5">
        <v>0</v>
      </c>
      <c r="B1192" s="6" t="s">
        <v>7287</v>
      </c>
      <c r="C1192" s="7">
        <v>1280</v>
      </c>
      <c r="D1192" s="8" t="s">
        <v>7288</v>
      </c>
      <c r="E1192" s="8" t="s">
        <v>7282</v>
      </c>
      <c r="F1192" s="8" t="s">
        <v>7289</v>
      </c>
      <c r="G1192" s="6" t="s">
        <v>83</v>
      </c>
      <c r="H1192" s="6" t="s">
        <v>38</v>
      </c>
      <c r="I1192" s="8" t="s">
        <v>155</v>
      </c>
      <c r="J1192" s="9">
        <v>1</v>
      </c>
      <c r="K1192" s="9">
        <v>272</v>
      </c>
      <c r="L1192" s="9">
        <v>2024</v>
      </c>
      <c r="M1192" s="8" t="s">
        <v>7290</v>
      </c>
      <c r="N1192" s="8" t="s">
        <v>74</v>
      </c>
      <c r="O1192" s="8" t="s">
        <v>93</v>
      </c>
      <c r="P1192" s="6" t="s">
        <v>55</v>
      </c>
      <c r="Q1192" s="8" t="s">
        <v>177</v>
      </c>
      <c r="R1192" s="10" t="s">
        <v>7291</v>
      </c>
      <c r="S1192" s="11"/>
      <c r="T1192" s="6"/>
      <c r="U1192" s="28" t="str">
        <f>HYPERLINK("https://media.infra-m.ru/2052/2052440/cover/2052440.jpg", "Обложка")</f>
        <v>Обложка</v>
      </c>
      <c r="V1192" s="28" t="str">
        <f>HYPERLINK("https://znanium.ru/catalog/product/2052440", "Ознакомиться")</f>
        <v>Ознакомиться</v>
      </c>
      <c r="W1192" s="8" t="s">
        <v>297</v>
      </c>
      <c r="X1192" s="6"/>
      <c r="Y1192" s="6"/>
      <c r="Z1192" s="6"/>
      <c r="AA1192" s="6" t="s">
        <v>2111</v>
      </c>
    </row>
    <row r="1193" spans="1:27" s="4" customFormat="1" ht="42" customHeight="1">
      <c r="A1193" s="5">
        <v>0</v>
      </c>
      <c r="B1193" s="6" t="s">
        <v>7292</v>
      </c>
      <c r="C1193" s="7">
        <v>2997</v>
      </c>
      <c r="D1193" s="8" t="s">
        <v>7293</v>
      </c>
      <c r="E1193" s="8" t="s">
        <v>7294</v>
      </c>
      <c r="F1193" s="8" t="s">
        <v>7295</v>
      </c>
      <c r="G1193" s="6" t="s">
        <v>123</v>
      </c>
      <c r="H1193" s="6" t="s">
        <v>38</v>
      </c>
      <c r="I1193" s="8" t="s">
        <v>795</v>
      </c>
      <c r="J1193" s="9">
        <v>1</v>
      </c>
      <c r="K1193" s="9">
        <v>551</v>
      </c>
      <c r="L1193" s="9">
        <v>2024</v>
      </c>
      <c r="M1193" s="8" t="s">
        <v>7296</v>
      </c>
      <c r="N1193" s="8" t="s">
        <v>74</v>
      </c>
      <c r="O1193" s="8" t="s">
        <v>93</v>
      </c>
      <c r="P1193" s="6" t="s">
        <v>378</v>
      </c>
      <c r="Q1193" s="8" t="s">
        <v>44</v>
      </c>
      <c r="R1193" s="10" t="s">
        <v>7297</v>
      </c>
      <c r="S1193" s="11"/>
      <c r="T1193" s="6"/>
      <c r="U1193" s="28" t="str">
        <f>HYPERLINK("https://media.infra-m.ru/2136/2136729/cover/2136729.jpg", "Обложка")</f>
        <v>Обложка</v>
      </c>
      <c r="V1193" s="28" t="str">
        <f>HYPERLINK("https://znanium.ru/catalog/product/2107427", "Ознакомиться")</f>
        <v>Ознакомиться</v>
      </c>
      <c r="W1193" s="8" t="s">
        <v>2740</v>
      </c>
      <c r="X1193" s="6"/>
      <c r="Y1193" s="6"/>
      <c r="Z1193" s="6"/>
      <c r="AA1193" s="6" t="s">
        <v>650</v>
      </c>
    </row>
    <row r="1194" spans="1:27" s="4" customFormat="1" ht="42" customHeight="1">
      <c r="A1194" s="5">
        <v>0</v>
      </c>
      <c r="B1194" s="6" t="s">
        <v>7298</v>
      </c>
      <c r="C1194" s="13">
        <v>341.9</v>
      </c>
      <c r="D1194" s="8" t="s">
        <v>7299</v>
      </c>
      <c r="E1194" s="8" t="s">
        <v>7300</v>
      </c>
      <c r="F1194" s="8" t="s">
        <v>7301</v>
      </c>
      <c r="G1194" s="6" t="s">
        <v>37</v>
      </c>
      <c r="H1194" s="6" t="s">
        <v>38</v>
      </c>
      <c r="I1194" s="8" t="s">
        <v>39</v>
      </c>
      <c r="J1194" s="9">
        <v>1</v>
      </c>
      <c r="K1194" s="9">
        <v>195</v>
      </c>
      <c r="L1194" s="9">
        <v>2019</v>
      </c>
      <c r="M1194" s="8" t="s">
        <v>7302</v>
      </c>
      <c r="N1194" s="8" t="s">
        <v>74</v>
      </c>
      <c r="O1194" s="8" t="s">
        <v>93</v>
      </c>
      <c r="P1194" s="6" t="s">
        <v>43</v>
      </c>
      <c r="Q1194" s="8" t="s">
        <v>44</v>
      </c>
      <c r="R1194" s="10" t="s">
        <v>1648</v>
      </c>
      <c r="S1194" s="11"/>
      <c r="T1194" s="6"/>
      <c r="U1194" s="28" t="str">
        <f>HYPERLINK("https://media.infra-m.ru/1020/1020523/cover/1020523.jpg", "Обложка")</f>
        <v>Обложка</v>
      </c>
      <c r="V1194" s="28" t="str">
        <f>HYPERLINK("https://znanium.ru/catalog/product/1020523", "Ознакомиться")</f>
        <v>Ознакомиться</v>
      </c>
      <c r="W1194" s="8" t="s">
        <v>273</v>
      </c>
      <c r="X1194" s="6"/>
      <c r="Y1194" s="6"/>
      <c r="Z1194" s="6"/>
      <c r="AA1194" s="6" t="s">
        <v>78</v>
      </c>
    </row>
    <row r="1195" spans="1:27" s="4" customFormat="1" ht="42" customHeight="1">
      <c r="A1195" s="5">
        <v>0</v>
      </c>
      <c r="B1195" s="6" t="s">
        <v>7303</v>
      </c>
      <c r="C1195" s="13">
        <v>390</v>
      </c>
      <c r="D1195" s="8" t="s">
        <v>7304</v>
      </c>
      <c r="E1195" s="8" t="s">
        <v>7305</v>
      </c>
      <c r="F1195" s="8" t="s">
        <v>7306</v>
      </c>
      <c r="G1195" s="6" t="s">
        <v>37</v>
      </c>
      <c r="H1195" s="6" t="s">
        <v>38</v>
      </c>
      <c r="I1195" s="8" t="s">
        <v>7307</v>
      </c>
      <c r="J1195" s="9">
        <v>1</v>
      </c>
      <c r="K1195" s="9">
        <v>113</v>
      </c>
      <c r="L1195" s="9">
        <v>2018</v>
      </c>
      <c r="M1195" s="8" t="s">
        <v>7308</v>
      </c>
      <c r="N1195" s="8" t="s">
        <v>74</v>
      </c>
      <c r="O1195" s="8" t="s">
        <v>93</v>
      </c>
      <c r="P1195" s="6" t="s">
        <v>43</v>
      </c>
      <c r="Q1195" s="8" t="s">
        <v>44</v>
      </c>
      <c r="R1195" s="10" t="s">
        <v>2739</v>
      </c>
      <c r="S1195" s="11"/>
      <c r="T1195" s="6"/>
      <c r="U1195" s="28" t="str">
        <f>HYPERLINK("https://media.infra-m.ru/0951/0951404/cover/951404.jpg", "Обложка")</f>
        <v>Обложка</v>
      </c>
      <c r="V1195" s="28" t="str">
        <f>HYPERLINK("https://znanium.ru/catalog/product/2142537", "Ознакомиться")</f>
        <v>Ознакомиться</v>
      </c>
      <c r="W1195" s="8" t="s">
        <v>1996</v>
      </c>
      <c r="X1195" s="6"/>
      <c r="Y1195" s="6"/>
      <c r="Z1195" s="6"/>
      <c r="AA1195" s="6" t="s">
        <v>68</v>
      </c>
    </row>
    <row r="1196" spans="1:27" s="4" customFormat="1" ht="51.95" customHeight="1">
      <c r="A1196" s="5">
        <v>0</v>
      </c>
      <c r="B1196" s="6" t="s">
        <v>7309</v>
      </c>
      <c r="C1196" s="7">
        <v>1284</v>
      </c>
      <c r="D1196" s="8" t="s">
        <v>7310</v>
      </c>
      <c r="E1196" s="8" t="s">
        <v>7311</v>
      </c>
      <c r="F1196" s="8" t="s">
        <v>3584</v>
      </c>
      <c r="G1196" s="6" t="s">
        <v>83</v>
      </c>
      <c r="H1196" s="6" t="s">
        <v>38</v>
      </c>
      <c r="I1196" s="8" t="s">
        <v>39</v>
      </c>
      <c r="J1196" s="9">
        <v>1</v>
      </c>
      <c r="K1196" s="9">
        <v>279</v>
      </c>
      <c r="L1196" s="9">
        <v>2024</v>
      </c>
      <c r="M1196" s="8" t="s">
        <v>7312</v>
      </c>
      <c r="N1196" s="8" t="s">
        <v>41</v>
      </c>
      <c r="O1196" s="8" t="s">
        <v>65</v>
      </c>
      <c r="P1196" s="6" t="s">
        <v>43</v>
      </c>
      <c r="Q1196" s="8" t="s">
        <v>44</v>
      </c>
      <c r="R1196" s="10" t="s">
        <v>7313</v>
      </c>
      <c r="S1196" s="11"/>
      <c r="T1196" s="6"/>
      <c r="U1196" s="28" t="str">
        <f>HYPERLINK("https://media.infra-m.ru/2102/2102717/cover/2102717.jpg", "Обложка")</f>
        <v>Обложка</v>
      </c>
      <c r="V1196" s="28" t="str">
        <f>HYPERLINK("https://znanium.ru/catalog/product/1069182", "Ознакомиться")</f>
        <v>Ознакомиться</v>
      </c>
      <c r="W1196" s="8" t="s">
        <v>355</v>
      </c>
      <c r="X1196" s="6"/>
      <c r="Y1196" s="6"/>
      <c r="Z1196" s="6"/>
      <c r="AA1196" s="6" t="s">
        <v>364</v>
      </c>
    </row>
    <row r="1197" spans="1:27" s="4" customFormat="1" ht="51.95" customHeight="1">
      <c r="A1197" s="5">
        <v>0</v>
      </c>
      <c r="B1197" s="6" t="s">
        <v>7314</v>
      </c>
      <c r="C1197" s="7">
        <v>1319.9</v>
      </c>
      <c r="D1197" s="8" t="s">
        <v>7315</v>
      </c>
      <c r="E1197" s="8" t="s">
        <v>7316</v>
      </c>
      <c r="F1197" s="8" t="s">
        <v>7317</v>
      </c>
      <c r="G1197" s="6" t="s">
        <v>1129</v>
      </c>
      <c r="H1197" s="6" t="s">
        <v>618</v>
      </c>
      <c r="I1197" s="8"/>
      <c r="J1197" s="9">
        <v>1</v>
      </c>
      <c r="K1197" s="9">
        <v>424</v>
      </c>
      <c r="L1197" s="9">
        <v>2019</v>
      </c>
      <c r="M1197" s="8" t="s">
        <v>7318</v>
      </c>
      <c r="N1197" s="8" t="s">
        <v>74</v>
      </c>
      <c r="O1197" s="8" t="s">
        <v>93</v>
      </c>
      <c r="P1197" s="6" t="s">
        <v>43</v>
      </c>
      <c r="Q1197" s="8" t="s">
        <v>44</v>
      </c>
      <c r="R1197" s="10" t="s">
        <v>7319</v>
      </c>
      <c r="S1197" s="11"/>
      <c r="T1197" s="6"/>
      <c r="U1197" s="28" t="str">
        <f>HYPERLINK("https://media.infra-m.ru/1009/1009562/cover/1009562.jpg", "Обложка")</f>
        <v>Обложка</v>
      </c>
      <c r="V1197" s="28" t="str">
        <f>HYPERLINK("https://znanium.ru/catalog/product/2141646", "Ознакомиться")</f>
        <v>Ознакомиться</v>
      </c>
      <c r="W1197" s="8" t="s">
        <v>1028</v>
      </c>
      <c r="X1197" s="6"/>
      <c r="Y1197" s="6"/>
      <c r="Z1197" s="6"/>
      <c r="AA1197" s="6" t="s">
        <v>78</v>
      </c>
    </row>
    <row r="1198" spans="1:27" s="4" customFormat="1" ht="42" customHeight="1">
      <c r="A1198" s="5">
        <v>0</v>
      </c>
      <c r="B1198" s="6" t="s">
        <v>7320</v>
      </c>
      <c r="C1198" s="13">
        <v>940</v>
      </c>
      <c r="D1198" s="8" t="s">
        <v>7321</v>
      </c>
      <c r="E1198" s="8" t="s">
        <v>7322</v>
      </c>
      <c r="F1198" s="8" t="s">
        <v>7323</v>
      </c>
      <c r="G1198" s="6" t="s">
        <v>37</v>
      </c>
      <c r="H1198" s="6" t="s">
        <v>38</v>
      </c>
      <c r="I1198" s="8" t="s">
        <v>39</v>
      </c>
      <c r="J1198" s="9">
        <v>1</v>
      </c>
      <c r="K1198" s="9">
        <v>203</v>
      </c>
      <c r="L1198" s="9">
        <v>2024</v>
      </c>
      <c r="M1198" s="8" t="s">
        <v>7324</v>
      </c>
      <c r="N1198" s="8" t="s">
        <v>74</v>
      </c>
      <c r="O1198" s="8" t="s">
        <v>93</v>
      </c>
      <c r="P1198" s="6" t="s">
        <v>43</v>
      </c>
      <c r="Q1198" s="8" t="s">
        <v>44</v>
      </c>
      <c r="R1198" s="10" t="s">
        <v>7325</v>
      </c>
      <c r="S1198" s="11"/>
      <c r="T1198" s="6"/>
      <c r="U1198" s="28" t="str">
        <f>HYPERLINK("https://media.infra-m.ru/2054/2054116/cover/2054116.jpg", "Обложка")</f>
        <v>Обложка</v>
      </c>
      <c r="V1198" s="28" t="str">
        <f>HYPERLINK("https://znanium.ru/catalog/product/2054116", "Ознакомиться")</f>
        <v>Ознакомиться</v>
      </c>
      <c r="W1198" s="8" t="s">
        <v>962</v>
      </c>
      <c r="X1198" s="6"/>
      <c r="Y1198" s="6"/>
      <c r="Z1198" s="6"/>
      <c r="AA1198" s="6" t="s">
        <v>193</v>
      </c>
    </row>
    <row r="1199" spans="1:27" s="4" customFormat="1" ht="51.95" customHeight="1">
      <c r="A1199" s="5">
        <v>0</v>
      </c>
      <c r="B1199" s="6" t="s">
        <v>7326</v>
      </c>
      <c r="C1199" s="13">
        <v>440</v>
      </c>
      <c r="D1199" s="8" t="s">
        <v>7327</v>
      </c>
      <c r="E1199" s="8" t="s">
        <v>7328</v>
      </c>
      <c r="F1199" s="8" t="s">
        <v>1893</v>
      </c>
      <c r="G1199" s="6" t="s">
        <v>37</v>
      </c>
      <c r="H1199" s="6" t="s">
        <v>38</v>
      </c>
      <c r="I1199" s="8" t="s">
        <v>39</v>
      </c>
      <c r="J1199" s="9">
        <v>24</v>
      </c>
      <c r="K1199" s="9">
        <v>140</v>
      </c>
      <c r="L1199" s="9">
        <v>2016</v>
      </c>
      <c r="M1199" s="8" t="s">
        <v>7329</v>
      </c>
      <c r="N1199" s="8" t="s">
        <v>74</v>
      </c>
      <c r="O1199" s="8" t="s">
        <v>93</v>
      </c>
      <c r="P1199" s="6" t="s">
        <v>43</v>
      </c>
      <c r="Q1199" s="8" t="s">
        <v>44</v>
      </c>
      <c r="R1199" s="10" t="s">
        <v>7330</v>
      </c>
      <c r="S1199" s="11"/>
      <c r="T1199" s="6"/>
      <c r="U1199" s="28" t="str">
        <f>HYPERLINK("https://media.infra-m.ru/0557/0557011/cover/557011.jpg", "Обложка")</f>
        <v>Обложка</v>
      </c>
      <c r="V1199" s="28" t="str">
        <f>HYPERLINK("https://znanium.ru/catalog/product/1074065", "Ознакомиться")</f>
        <v>Ознакомиться</v>
      </c>
      <c r="W1199" s="8" t="s">
        <v>355</v>
      </c>
      <c r="X1199" s="6"/>
      <c r="Y1199" s="6"/>
      <c r="Z1199" s="6"/>
      <c r="AA1199" s="6" t="s">
        <v>47</v>
      </c>
    </row>
    <row r="1200" spans="1:27" s="4" customFormat="1" ht="51.95" customHeight="1">
      <c r="A1200" s="5">
        <v>0</v>
      </c>
      <c r="B1200" s="6" t="s">
        <v>7331</v>
      </c>
      <c r="C1200" s="13">
        <v>620</v>
      </c>
      <c r="D1200" s="8" t="s">
        <v>7332</v>
      </c>
      <c r="E1200" s="8" t="s">
        <v>7333</v>
      </c>
      <c r="F1200" s="8" t="s">
        <v>1893</v>
      </c>
      <c r="G1200" s="6" t="s">
        <v>37</v>
      </c>
      <c r="H1200" s="6" t="s">
        <v>38</v>
      </c>
      <c r="I1200" s="8" t="s">
        <v>39</v>
      </c>
      <c r="J1200" s="9">
        <v>1</v>
      </c>
      <c r="K1200" s="9">
        <v>154</v>
      </c>
      <c r="L1200" s="9">
        <v>2020</v>
      </c>
      <c r="M1200" s="8" t="s">
        <v>7334</v>
      </c>
      <c r="N1200" s="8" t="s">
        <v>74</v>
      </c>
      <c r="O1200" s="8" t="s">
        <v>93</v>
      </c>
      <c r="P1200" s="6" t="s">
        <v>43</v>
      </c>
      <c r="Q1200" s="8" t="s">
        <v>44</v>
      </c>
      <c r="R1200" s="10" t="s">
        <v>7330</v>
      </c>
      <c r="S1200" s="11"/>
      <c r="T1200" s="6"/>
      <c r="U1200" s="28" t="str">
        <f>HYPERLINK("https://media.infra-m.ru/1074/1074065/cover/1074065.jpg", "Обложка")</f>
        <v>Обложка</v>
      </c>
      <c r="V1200" s="28" t="str">
        <f>HYPERLINK("https://znanium.ru/catalog/product/1074065", "Ознакомиться")</f>
        <v>Ознакомиться</v>
      </c>
      <c r="W1200" s="8" t="s">
        <v>355</v>
      </c>
      <c r="X1200" s="6"/>
      <c r="Y1200" s="6"/>
      <c r="Z1200" s="6"/>
      <c r="AA1200" s="6" t="s">
        <v>768</v>
      </c>
    </row>
    <row r="1201" spans="1:27" s="4" customFormat="1" ht="51.95" customHeight="1">
      <c r="A1201" s="5">
        <v>0</v>
      </c>
      <c r="B1201" s="6" t="s">
        <v>7335</v>
      </c>
      <c r="C1201" s="7">
        <v>1364.9</v>
      </c>
      <c r="D1201" s="8" t="s">
        <v>7336</v>
      </c>
      <c r="E1201" s="8" t="s">
        <v>7337</v>
      </c>
      <c r="F1201" s="8" t="s">
        <v>7338</v>
      </c>
      <c r="G1201" s="6" t="s">
        <v>37</v>
      </c>
      <c r="H1201" s="6" t="s">
        <v>725</v>
      </c>
      <c r="I1201" s="8"/>
      <c r="J1201" s="9">
        <v>1</v>
      </c>
      <c r="K1201" s="9">
        <v>304</v>
      </c>
      <c r="L1201" s="9">
        <v>2023</v>
      </c>
      <c r="M1201" s="8" t="s">
        <v>7339</v>
      </c>
      <c r="N1201" s="8" t="s">
        <v>74</v>
      </c>
      <c r="O1201" s="8" t="s">
        <v>93</v>
      </c>
      <c r="P1201" s="6" t="s">
        <v>55</v>
      </c>
      <c r="Q1201" s="8" t="s">
        <v>56</v>
      </c>
      <c r="R1201" s="10" t="s">
        <v>7340</v>
      </c>
      <c r="S1201" s="11"/>
      <c r="T1201" s="6"/>
      <c r="U1201" s="28" t="str">
        <f>HYPERLINK("https://media.infra-m.ru/1913/1913029/cover/1913029.jpg", "Обложка")</f>
        <v>Обложка</v>
      </c>
      <c r="V1201" s="28" t="str">
        <f>HYPERLINK("https://znanium.ru/catalog/product/1010069", "Ознакомиться")</f>
        <v>Ознакомиться</v>
      </c>
      <c r="W1201" s="8" t="s">
        <v>7341</v>
      </c>
      <c r="X1201" s="6"/>
      <c r="Y1201" s="6"/>
      <c r="Z1201" s="6"/>
      <c r="AA1201" s="6" t="s">
        <v>381</v>
      </c>
    </row>
    <row r="1202" spans="1:27" s="4" customFormat="1" ht="51.95" customHeight="1">
      <c r="A1202" s="5">
        <v>0</v>
      </c>
      <c r="B1202" s="6" t="s">
        <v>7342</v>
      </c>
      <c r="C1202" s="7">
        <v>1764</v>
      </c>
      <c r="D1202" s="8" t="s">
        <v>7343</v>
      </c>
      <c r="E1202" s="8" t="s">
        <v>7344</v>
      </c>
      <c r="F1202" s="8" t="s">
        <v>7345</v>
      </c>
      <c r="G1202" s="6" t="s">
        <v>123</v>
      </c>
      <c r="H1202" s="6" t="s">
        <v>934</v>
      </c>
      <c r="I1202" s="8" t="s">
        <v>155</v>
      </c>
      <c r="J1202" s="9">
        <v>12</v>
      </c>
      <c r="K1202" s="9">
        <v>384</v>
      </c>
      <c r="L1202" s="9">
        <v>2023</v>
      </c>
      <c r="M1202" s="8" t="s">
        <v>7346</v>
      </c>
      <c r="N1202" s="8" t="s">
        <v>74</v>
      </c>
      <c r="O1202" s="8" t="s">
        <v>93</v>
      </c>
      <c r="P1202" s="6" t="s">
        <v>55</v>
      </c>
      <c r="Q1202" s="8" t="s">
        <v>56</v>
      </c>
      <c r="R1202" s="10" t="s">
        <v>7347</v>
      </c>
      <c r="S1202" s="11" t="s">
        <v>7348</v>
      </c>
      <c r="T1202" s="6"/>
      <c r="U1202" s="28" t="str">
        <f>HYPERLINK("https://media.infra-m.ru/1894/1894614/cover/1894614.jpg", "Обложка")</f>
        <v>Обложка</v>
      </c>
      <c r="V1202" s="28" t="str">
        <f>HYPERLINK("https://znanium.ru/catalog/product/966756", "Ознакомиться")</f>
        <v>Ознакомиться</v>
      </c>
      <c r="W1202" s="8" t="s">
        <v>1111</v>
      </c>
      <c r="X1202" s="6"/>
      <c r="Y1202" s="6"/>
      <c r="Z1202" s="6"/>
      <c r="AA1202" s="6" t="s">
        <v>2895</v>
      </c>
    </row>
    <row r="1203" spans="1:27" s="4" customFormat="1" ht="51.95" customHeight="1">
      <c r="A1203" s="5">
        <v>0</v>
      </c>
      <c r="B1203" s="6" t="s">
        <v>7349</v>
      </c>
      <c r="C1203" s="7">
        <v>1404</v>
      </c>
      <c r="D1203" s="8" t="s">
        <v>7350</v>
      </c>
      <c r="E1203" s="8" t="s">
        <v>7351</v>
      </c>
      <c r="F1203" s="8" t="s">
        <v>2904</v>
      </c>
      <c r="G1203" s="6" t="s">
        <v>37</v>
      </c>
      <c r="H1203" s="6" t="s">
        <v>470</v>
      </c>
      <c r="I1203" s="8" t="s">
        <v>1040</v>
      </c>
      <c r="J1203" s="9">
        <v>1</v>
      </c>
      <c r="K1203" s="9">
        <v>311</v>
      </c>
      <c r="L1203" s="9">
        <v>2023</v>
      </c>
      <c r="M1203" s="8" t="s">
        <v>7352</v>
      </c>
      <c r="N1203" s="8" t="s">
        <v>74</v>
      </c>
      <c r="O1203" s="8" t="s">
        <v>93</v>
      </c>
      <c r="P1203" s="6" t="s">
        <v>43</v>
      </c>
      <c r="Q1203" s="8" t="s">
        <v>44</v>
      </c>
      <c r="R1203" s="10" t="s">
        <v>94</v>
      </c>
      <c r="S1203" s="11"/>
      <c r="T1203" s="6"/>
      <c r="U1203" s="28" t="str">
        <f>HYPERLINK("https://media.infra-m.ru/1981/1981662/cover/1981662.jpg", "Обложка")</f>
        <v>Обложка</v>
      </c>
      <c r="V1203" s="28" t="str">
        <f>HYPERLINK("https://znanium.ru/catalog/product/1861348", "Ознакомиться")</f>
        <v>Ознакомиться</v>
      </c>
      <c r="W1203" s="8" t="s">
        <v>140</v>
      </c>
      <c r="X1203" s="6"/>
      <c r="Y1203" s="6"/>
      <c r="Z1203" s="6"/>
      <c r="AA1203" s="6" t="s">
        <v>290</v>
      </c>
    </row>
    <row r="1204" spans="1:27" s="4" customFormat="1" ht="51.95" customHeight="1">
      <c r="A1204" s="5">
        <v>0</v>
      </c>
      <c r="B1204" s="6" t="s">
        <v>7353</v>
      </c>
      <c r="C1204" s="7">
        <v>1424</v>
      </c>
      <c r="D1204" s="8" t="s">
        <v>7354</v>
      </c>
      <c r="E1204" s="8" t="s">
        <v>7355</v>
      </c>
      <c r="F1204" s="8" t="s">
        <v>7356</v>
      </c>
      <c r="G1204" s="6" t="s">
        <v>123</v>
      </c>
      <c r="H1204" s="6" t="s">
        <v>38</v>
      </c>
      <c r="I1204" s="8" t="s">
        <v>164</v>
      </c>
      <c r="J1204" s="9">
        <v>1</v>
      </c>
      <c r="K1204" s="9">
        <v>310</v>
      </c>
      <c r="L1204" s="9">
        <v>2023</v>
      </c>
      <c r="M1204" s="8" t="s">
        <v>7357</v>
      </c>
      <c r="N1204" s="8" t="s">
        <v>74</v>
      </c>
      <c r="O1204" s="8" t="s">
        <v>93</v>
      </c>
      <c r="P1204" s="6" t="s">
        <v>176</v>
      </c>
      <c r="Q1204" s="8" t="s">
        <v>56</v>
      </c>
      <c r="R1204" s="10" t="s">
        <v>7358</v>
      </c>
      <c r="S1204" s="11" t="s">
        <v>7359</v>
      </c>
      <c r="T1204" s="6"/>
      <c r="U1204" s="28" t="str">
        <f>HYPERLINK("https://media.infra-m.ru/1895/1895154/cover/1895154.jpg", "Обложка")</f>
        <v>Обложка</v>
      </c>
      <c r="V1204" s="28" t="str">
        <f>HYPERLINK("https://znanium.ru/catalog/product/1895154", "Ознакомиться")</f>
        <v>Ознакомиться</v>
      </c>
      <c r="W1204" s="8" t="s">
        <v>2740</v>
      </c>
      <c r="X1204" s="6"/>
      <c r="Y1204" s="6"/>
      <c r="Z1204" s="6"/>
      <c r="AA1204" s="6" t="s">
        <v>290</v>
      </c>
    </row>
    <row r="1205" spans="1:27" s="4" customFormat="1" ht="51.95" customHeight="1">
      <c r="A1205" s="5">
        <v>0</v>
      </c>
      <c r="B1205" s="6" t="s">
        <v>7360</v>
      </c>
      <c r="C1205" s="7">
        <v>1544</v>
      </c>
      <c r="D1205" s="8" t="s">
        <v>7361</v>
      </c>
      <c r="E1205" s="8" t="s">
        <v>7362</v>
      </c>
      <c r="F1205" s="8" t="s">
        <v>7356</v>
      </c>
      <c r="G1205" s="6" t="s">
        <v>123</v>
      </c>
      <c r="H1205" s="6" t="s">
        <v>38</v>
      </c>
      <c r="I1205" s="8" t="s">
        <v>164</v>
      </c>
      <c r="J1205" s="9">
        <v>1</v>
      </c>
      <c r="K1205" s="9">
        <v>335</v>
      </c>
      <c r="L1205" s="9">
        <v>2023</v>
      </c>
      <c r="M1205" s="8" t="s">
        <v>7363</v>
      </c>
      <c r="N1205" s="8" t="s">
        <v>74</v>
      </c>
      <c r="O1205" s="8" t="s">
        <v>93</v>
      </c>
      <c r="P1205" s="6" t="s">
        <v>176</v>
      </c>
      <c r="Q1205" s="8" t="s">
        <v>56</v>
      </c>
      <c r="R1205" s="10" t="s">
        <v>1076</v>
      </c>
      <c r="S1205" s="11" t="s">
        <v>7359</v>
      </c>
      <c r="T1205" s="6"/>
      <c r="U1205" s="28" t="str">
        <f>HYPERLINK("https://media.infra-m.ru/1895/1895153/cover/1895153.jpg", "Обложка")</f>
        <v>Обложка</v>
      </c>
      <c r="V1205" s="28" t="str">
        <f>HYPERLINK("https://znanium.ru/catalog/product/1895153", "Ознакомиться")</f>
        <v>Ознакомиться</v>
      </c>
      <c r="W1205" s="8" t="s">
        <v>2740</v>
      </c>
      <c r="X1205" s="6"/>
      <c r="Y1205" s="6"/>
      <c r="Z1205" s="6"/>
      <c r="AA1205" s="6" t="s">
        <v>290</v>
      </c>
    </row>
    <row r="1206" spans="1:27" s="4" customFormat="1" ht="51.95" customHeight="1">
      <c r="A1206" s="5">
        <v>0</v>
      </c>
      <c r="B1206" s="6" t="s">
        <v>7364</v>
      </c>
      <c r="C1206" s="7">
        <v>1320</v>
      </c>
      <c r="D1206" s="8" t="s">
        <v>7365</v>
      </c>
      <c r="E1206" s="8" t="s">
        <v>7366</v>
      </c>
      <c r="F1206" s="8" t="s">
        <v>1109</v>
      </c>
      <c r="G1206" s="6" t="s">
        <v>83</v>
      </c>
      <c r="H1206" s="6" t="s">
        <v>38</v>
      </c>
      <c r="I1206" s="8" t="s">
        <v>155</v>
      </c>
      <c r="J1206" s="9">
        <v>1</v>
      </c>
      <c r="K1206" s="9">
        <v>291</v>
      </c>
      <c r="L1206" s="9">
        <v>2023</v>
      </c>
      <c r="M1206" s="8" t="s">
        <v>7367</v>
      </c>
      <c r="N1206" s="8" t="s">
        <v>74</v>
      </c>
      <c r="O1206" s="8" t="s">
        <v>93</v>
      </c>
      <c r="P1206" s="6" t="s">
        <v>176</v>
      </c>
      <c r="Q1206" s="8" t="s">
        <v>177</v>
      </c>
      <c r="R1206" s="10" t="s">
        <v>7368</v>
      </c>
      <c r="S1206" s="11" t="s">
        <v>7369</v>
      </c>
      <c r="T1206" s="6" t="s">
        <v>190</v>
      </c>
      <c r="U1206" s="28" t="str">
        <f>HYPERLINK("https://media.infra-m.ru/2040/2040002/cover/2040002.jpg", "Обложка")</f>
        <v>Обложка</v>
      </c>
      <c r="V1206" s="28" t="str">
        <f>HYPERLINK("https://znanium.ru/catalog/product/2040002", "Ознакомиться")</f>
        <v>Ознакомиться</v>
      </c>
      <c r="W1206" s="8" t="s">
        <v>1111</v>
      </c>
      <c r="X1206" s="6"/>
      <c r="Y1206" s="6" t="s">
        <v>30</v>
      </c>
      <c r="Z1206" s="6"/>
      <c r="AA1206" s="6" t="s">
        <v>68</v>
      </c>
    </row>
    <row r="1207" spans="1:27" s="4" customFormat="1" ht="51.95" customHeight="1">
      <c r="A1207" s="5">
        <v>0</v>
      </c>
      <c r="B1207" s="6" t="s">
        <v>7370</v>
      </c>
      <c r="C1207" s="7">
        <v>2680</v>
      </c>
      <c r="D1207" s="8" t="s">
        <v>7371</v>
      </c>
      <c r="E1207" s="8" t="s">
        <v>7366</v>
      </c>
      <c r="F1207" s="8" t="s">
        <v>7372</v>
      </c>
      <c r="G1207" s="6" t="s">
        <v>83</v>
      </c>
      <c r="H1207" s="6" t="s">
        <v>618</v>
      </c>
      <c r="I1207" s="8"/>
      <c r="J1207" s="9">
        <v>1</v>
      </c>
      <c r="K1207" s="9">
        <v>928</v>
      </c>
      <c r="L1207" s="9">
        <v>2023</v>
      </c>
      <c r="M1207" s="8" t="s">
        <v>7373</v>
      </c>
      <c r="N1207" s="8" t="s">
        <v>74</v>
      </c>
      <c r="O1207" s="8" t="s">
        <v>93</v>
      </c>
      <c r="P1207" s="6" t="s">
        <v>176</v>
      </c>
      <c r="Q1207" s="8" t="s">
        <v>56</v>
      </c>
      <c r="R1207" s="10" t="s">
        <v>1076</v>
      </c>
      <c r="S1207" s="11" t="s">
        <v>2418</v>
      </c>
      <c r="T1207" s="6"/>
      <c r="U1207" s="28" t="str">
        <f>HYPERLINK("https://media.infra-m.ru/1912/1912450/cover/1912450.jpg", "Обложка")</f>
        <v>Обложка</v>
      </c>
      <c r="V1207" s="28" t="str">
        <f>HYPERLINK("https://znanium.ru/catalog/product/1912448", "Ознакомиться")</f>
        <v>Ознакомиться</v>
      </c>
      <c r="W1207" s="8" t="s">
        <v>2740</v>
      </c>
      <c r="X1207" s="6"/>
      <c r="Y1207" s="6"/>
      <c r="Z1207" s="6"/>
      <c r="AA1207" s="6" t="s">
        <v>2111</v>
      </c>
    </row>
    <row r="1208" spans="1:27" s="4" customFormat="1" ht="51.95" customHeight="1">
      <c r="A1208" s="5">
        <v>0</v>
      </c>
      <c r="B1208" s="6" t="s">
        <v>7374</v>
      </c>
      <c r="C1208" s="7">
        <v>1894</v>
      </c>
      <c r="D1208" s="8" t="s">
        <v>7375</v>
      </c>
      <c r="E1208" s="8" t="s">
        <v>7366</v>
      </c>
      <c r="F1208" s="8" t="s">
        <v>7376</v>
      </c>
      <c r="G1208" s="6" t="s">
        <v>123</v>
      </c>
      <c r="H1208" s="6" t="s">
        <v>38</v>
      </c>
      <c r="I1208" s="8" t="s">
        <v>164</v>
      </c>
      <c r="J1208" s="9">
        <v>1</v>
      </c>
      <c r="K1208" s="9">
        <v>519</v>
      </c>
      <c r="L1208" s="9">
        <v>2024</v>
      </c>
      <c r="M1208" s="8" t="s">
        <v>7377</v>
      </c>
      <c r="N1208" s="8" t="s">
        <v>74</v>
      </c>
      <c r="O1208" s="8" t="s">
        <v>93</v>
      </c>
      <c r="P1208" s="6" t="s">
        <v>176</v>
      </c>
      <c r="Q1208" s="8" t="s">
        <v>56</v>
      </c>
      <c r="R1208" s="10" t="s">
        <v>7378</v>
      </c>
      <c r="S1208" s="11" t="s">
        <v>7379</v>
      </c>
      <c r="T1208" s="6"/>
      <c r="U1208" s="28" t="str">
        <f>HYPERLINK("https://media.infra-m.ru/2053/2053189/cover/2053189.jpg", "Обложка")</f>
        <v>Обложка</v>
      </c>
      <c r="V1208" s="28" t="str">
        <f>HYPERLINK("https://znanium.ru/catalog/product/2053189", "Ознакомиться")</f>
        <v>Ознакомиться</v>
      </c>
      <c r="W1208" s="8" t="s">
        <v>2740</v>
      </c>
      <c r="X1208" s="6"/>
      <c r="Y1208" s="6"/>
      <c r="Z1208" s="6"/>
      <c r="AA1208" s="6" t="s">
        <v>372</v>
      </c>
    </row>
    <row r="1209" spans="1:27" s="4" customFormat="1" ht="42" customHeight="1">
      <c r="A1209" s="5">
        <v>0</v>
      </c>
      <c r="B1209" s="6" t="s">
        <v>7380</v>
      </c>
      <c r="C1209" s="7">
        <v>1544</v>
      </c>
      <c r="D1209" s="8" t="s">
        <v>7381</v>
      </c>
      <c r="E1209" s="8" t="s">
        <v>7366</v>
      </c>
      <c r="F1209" s="8" t="s">
        <v>7382</v>
      </c>
      <c r="G1209" s="6" t="s">
        <v>123</v>
      </c>
      <c r="H1209" s="6" t="s">
        <v>618</v>
      </c>
      <c r="I1209" s="8"/>
      <c r="J1209" s="9">
        <v>1</v>
      </c>
      <c r="K1209" s="9">
        <v>336</v>
      </c>
      <c r="L1209" s="9">
        <v>2024</v>
      </c>
      <c r="M1209" s="8" t="s">
        <v>7383</v>
      </c>
      <c r="N1209" s="8" t="s">
        <v>74</v>
      </c>
      <c r="O1209" s="8" t="s">
        <v>93</v>
      </c>
      <c r="P1209" s="6" t="s">
        <v>176</v>
      </c>
      <c r="Q1209" s="8" t="s">
        <v>56</v>
      </c>
      <c r="R1209" s="10" t="s">
        <v>2022</v>
      </c>
      <c r="S1209" s="11"/>
      <c r="T1209" s="6"/>
      <c r="U1209" s="28" t="str">
        <f>HYPERLINK("https://media.infra-m.ru/1991/1991913/cover/1991913.jpg", "Обложка")</f>
        <v>Обложка</v>
      </c>
      <c r="V1209" s="28" t="str">
        <f>HYPERLINK("https://znanium.ru/catalog/product/1991913", "Ознакомиться")</f>
        <v>Ознакомиться</v>
      </c>
      <c r="W1209" s="8" t="s">
        <v>1334</v>
      </c>
      <c r="X1209" s="6"/>
      <c r="Y1209" s="6"/>
      <c r="Z1209" s="6"/>
      <c r="AA1209" s="6" t="s">
        <v>141</v>
      </c>
    </row>
    <row r="1210" spans="1:27" s="4" customFormat="1" ht="51.95" customHeight="1">
      <c r="A1210" s="5">
        <v>0</v>
      </c>
      <c r="B1210" s="6" t="s">
        <v>7384</v>
      </c>
      <c r="C1210" s="7">
        <v>1844</v>
      </c>
      <c r="D1210" s="8" t="s">
        <v>7385</v>
      </c>
      <c r="E1210" s="8" t="s">
        <v>7366</v>
      </c>
      <c r="F1210" s="8" t="s">
        <v>7386</v>
      </c>
      <c r="G1210" s="6" t="s">
        <v>123</v>
      </c>
      <c r="H1210" s="6" t="s">
        <v>934</v>
      </c>
      <c r="I1210" s="8" t="s">
        <v>155</v>
      </c>
      <c r="J1210" s="9">
        <v>1</v>
      </c>
      <c r="K1210" s="9">
        <v>400</v>
      </c>
      <c r="L1210" s="9">
        <v>2023</v>
      </c>
      <c r="M1210" s="8" t="s">
        <v>7387</v>
      </c>
      <c r="N1210" s="8" t="s">
        <v>74</v>
      </c>
      <c r="O1210" s="8" t="s">
        <v>93</v>
      </c>
      <c r="P1210" s="6" t="s">
        <v>176</v>
      </c>
      <c r="Q1210" s="8" t="s">
        <v>177</v>
      </c>
      <c r="R1210" s="10" t="s">
        <v>7388</v>
      </c>
      <c r="S1210" s="11" t="s">
        <v>7389</v>
      </c>
      <c r="T1210" s="6"/>
      <c r="U1210" s="28" t="str">
        <f>HYPERLINK("https://media.infra-m.ru/2054/2054991/cover/2054991.jpg", "Обложка")</f>
        <v>Обложка</v>
      </c>
      <c r="V1210" s="28" t="str">
        <f>HYPERLINK("https://znanium.ru/catalog/product/2054991", "Ознакомиться")</f>
        <v>Ознакомиться</v>
      </c>
      <c r="W1210" s="8" t="s">
        <v>355</v>
      </c>
      <c r="X1210" s="6"/>
      <c r="Y1210" s="6"/>
      <c r="Z1210" s="6"/>
      <c r="AA1210" s="6" t="s">
        <v>2895</v>
      </c>
    </row>
    <row r="1211" spans="1:27" s="4" customFormat="1" ht="42" customHeight="1">
      <c r="A1211" s="5">
        <v>0</v>
      </c>
      <c r="B1211" s="6" t="s">
        <v>7390</v>
      </c>
      <c r="C1211" s="7">
        <v>1730</v>
      </c>
      <c r="D1211" s="8" t="s">
        <v>7391</v>
      </c>
      <c r="E1211" s="8" t="s">
        <v>7392</v>
      </c>
      <c r="F1211" s="8" t="s">
        <v>1204</v>
      </c>
      <c r="G1211" s="6" t="s">
        <v>83</v>
      </c>
      <c r="H1211" s="6" t="s">
        <v>470</v>
      </c>
      <c r="I1211" s="8" t="s">
        <v>470</v>
      </c>
      <c r="J1211" s="9">
        <v>1</v>
      </c>
      <c r="K1211" s="9">
        <v>384</v>
      </c>
      <c r="L1211" s="9">
        <v>2021</v>
      </c>
      <c r="M1211" s="8" t="s">
        <v>7393</v>
      </c>
      <c r="N1211" s="8" t="s">
        <v>74</v>
      </c>
      <c r="O1211" s="8" t="s">
        <v>93</v>
      </c>
      <c r="P1211" s="6" t="s">
        <v>176</v>
      </c>
      <c r="Q1211" s="8" t="s">
        <v>56</v>
      </c>
      <c r="R1211" s="10" t="s">
        <v>1076</v>
      </c>
      <c r="S1211" s="11"/>
      <c r="T1211" s="6"/>
      <c r="U1211" s="28" t="str">
        <f>HYPERLINK("https://media.infra-m.ru/1945/1945398/cover/1945398.jpg", "Обложка")</f>
        <v>Обложка</v>
      </c>
      <c r="V1211" s="28" t="str">
        <f>HYPERLINK("https://znanium.ru/catalog/product/1911127", "Ознакомиться")</f>
        <v>Ознакомиться</v>
      </c>
      <c r="W1211" s="8" t="s">
        <v>557</v>
      </c>
      <c r="X1211" s="6"/>
      <c r="Y1211" s="6"/>
      <c r="Z1211" s="6"/>
      <c r="AA1211" s="6" t="s">
        <v>3165</v>
      </c>
    </row>
    <row r="1212" spans="1:27" s="4" customFormat="1" ht="42" customHeight="1">
      <c r="A1212" s="5">
        <v>0</v>
      </c>
      <c r="B1212" s="6" t="s">
        <v>7394</v>
      </c>
      <c r="C1212" s="7">
        <v>1984</v>
      </c>
      <c r="D1212" s="8" t="s">
        <v>7395</v>
      </c>
      <c r="E1212" s="8" t="s">
        <v>7396</v>
      </c>
      <c r="F1212" s="8" t="s">
        <v>2898</v>
      </c>
      <c r="G1212" s="6" t="s">
        <v>123</v>
      </c>
      <c r="H1212" s="6" t="s">
        <v>38</v>
      </c>
      <c r="I1212" s="8" t="s">
        <v>164</v>
      </c>
      <c r="J1212" s="9">
        <v>1</v>
      </c>
      <c r="K1212" s="9">
        <v>432</v>
      </c>
      <c r="L1212" s="9">
        <v>2024</v>
      </c>
      <c r="M1212" s="8" t="s">
        <v>7397</v>
      </c>
      <c r="N1212" s="8" t="s">
        <v>74</v>
      </c>
      <c r="O1212" s="8" t="s">
        <v>93</v>
      </c>
      <c r="P1212" s="6" t="s">
        <v>176</v>
      </c>
      <c r="Q1212" s="8" t="s">
        <v>56</v>
      </c>
      <c r="R1212" s="10" t="s">
        <v>1076</v>
      </c>
      <c r="S1212" s="11"/>
      <c r="T1212" s="6"/>
      <c r="U1212" s="28" t="str">
        <f>HYPERLINK("https://media.infra-m.ru/2130/2130079/cover/2130079.jpg", "Обложка")</f>
        <v>Обложка</v>
      </c>
      <c r="V1212" s="28" t="str">
        <f>HYPERLINK("https://znanium.ru/catalog/product/2130079", "Ознакомиться")</f>
        <v>Ознакомиться</v>
      </c>
      <c r="W1212" s="8" t="s">
        <v>2900</v>
      </c>
      <c r="X1212" s="6"/>
      <c r="Y1212" s="6"/>
      <c r="Z1212" s="6"/>
      <c r="AA1212" s="6" t="s">
        <v>306</v>
      </c>
    </row>
    <row r="1213" spans="1:27" s="4" customFormat="1" ht="51.95" customHeight="1">
      <c r="A1213" s="5">
        <v>0</v>
      </c>
      <c r="B1213" s="6" t="s">
        <v>7398</v>
      </c>
      <c r="C1213" s="7">
        <v>2414</v>
      </c>
      <c r="D1213" s="8" t="s">
        <v>7399</v>
      </c>
      <c r="E1213" s="8" t="s">
        <v>7366</v>
      </c>
      <c r="F1213" s="8" t="s">
        <v>7211</v>
      </c>
      <c r="G1213" s="6" t="s">
        <v>123</v>
      </c>
      <c r="H1213" s="6" t="s">
        <v>618</v>
      </c>
      <c r="I1213" s="8"/>
      <c r="J1213" s="9">
        <v>1</v>
      </c>
      <c r="K1213" s="9">
        <v>536</v>
      </c>
      <c r="L1213" s="9">
        <v>2023</v>
      </c>
      <c r="M1213" s="8" t="s">
        <v>7400</v>
      </c>
      <c r="N1213" s="8" t="s">
        <v>74</v>
      </c>
      <c r="O1213" s="8" t="s">
        <v>93</v>
      </c>
      <c r="P1213" s="6" t="s">
        <v>176</v>
      </c>
      <c r="Q1213" s="8" t="s">
        <v>187</v>
      </c>
      <c r="R1213" s="10" t="s">
        <v>7401</v>
      </c>
      <c r="S1213" s="11"/>
      <c r="T1213" s="6"/>
      <c r="U1213" s="28" t="str">
        <f>HYPERLINK("https://media.infra-m.ru/2043/2043247/cover/2043247.jpg", "Обложка")</f>
        <v>Обложка</v>
      </c>
      <c r="V1213" s="28" t="str">
        <f>HYPERLINK("https://znanium.ru/catalog/product/2043247", "Ознакомиться")</f>
        <v>Ознакомиться</v>
      </c>
      <c r="W1213" s="8" t="s">
        <v>1334</v>
      </c>
      <c r="X1213" s="6"/>
      <c r="Y1213" s="6"/>
      <c r="Z1213" s="6"/>
      <c r="AA1213" s="6" t="s">
        <v>193</v>
      </c>
    </row>
    <row r="1214" spans="1:27" s="4" customFormat="1" ht="42" customHeight="1">
      <c r="A1214" s="5">
        <v>0</v>
      </c>
      <c r="B1214" s="6" t="s">
        <v>7402</v>
      </c>
      <c r="C1214" s="7">
        <v>2150</v>
      </c>
      <c r="D1214" s="8" t="s">
        <v>7403</v>
      </c>
      <c r="E1214" s="8" t="s">
        <v>7366</v>
      </c>
      <c r="F1214" s="8" t="s">
        <v>7404</v>
      </c>
      <c r="G1214" s="6" t="s">
        <v>83</v>
      </c>
      <c r="H1214" s="6" t="s">
        <v>38</v>
      </c>
      <c r="I1214" s="8" t="s">
        <v>164</v>
      </c>
      <c r="J1214" s="9">
        <v>1</v>
      </c>
      <c r="K1214" s="9">
        <v>477</v>
      </c>
      <c r="L1214" s="9">
        <v>2023</v>
      </c>
      <c r="M1214" s="8" t="s">
        <v>7405</v>
      </c>
      <c r="N1214" s="8" t="s">
        <v>74</v>
      </c>
      <c r="O1214" s="8" t="s">
        <v>93</v>
      </c>
      <c r="P1214" s="6" t="s">
        <v>176</v>
      </c>
      <c r="Q1214" s="8" t="s">
        <v>56</v>
      </c>
      <c r="R1214" s="10" t="s">
        <v>7406</v>
      </c>
      <c r="S1214" s="11"/>
      <c r="T1214" s="6"/>
      <c r="U1214" s="28" t="str">
        <f>HYPERLINK("https://media.infra-m.ru/1904/1904352/cover/1904352.jpg", "Обложка")</f>
        <v>Обложка</v>
      </c>
      <c r="V1214" s="28" t="str">
        <f>HYPERLINK("https://znanium.ru/catalog/product/1904352", "Ознакомиться")</f>
        <v>Ознакомиться</v>
      </c>
      <c r="W1214" s="8" t="s">
        <v>140</v>
      </c>
      <c r="X1214" s="6"/>
      <c r="Y1214" s="6"/>
      <c r="Z1214" s="6"/>
      <c r="AA1214" s="6" t="s">
        <v>193</v>
      </c>
    </row>
    <row r="1215" spans="1:27" s="4" customFormat="1" ht="51.95" customHeight="1">
      <c r="A1215" s="5">
        <v>0</v>
      </c>
      <c r="B1215" s="6" t="s">
        <v>7407</v>
      </c>
      <c r="C1215" s="7">
        <v>1660</v>
      </c>
      <c r="D1215" s="8" t="s">
        <v>7408</v>
      </c>
      <c r="E1215" s="8" t="s">
        <v>7366</v>
      </c>
      <c r="F1215" s="8" t="s">
        <v>3386</v>
      </c>
      <c r="G1215" s="6" t="s">
        <v>123</v>
      </c>
      <c r="H1215" s="6" t="s">
        <v>38</v>
      </c>
      <c r="I1215" s="8" t="s">
        <v>185</v>
      </c>
      <c r="J1215" s="9">
        <v>1</v>
      </c>
      <c r="K1215" s="9">
        <v>461</v>
      </c>
      <c r="L1215" s="9">
        <v>2021</v>
      </c>
      <c r="M1215" s="8" t="s">
        <v>7409</v>
      </c>
      <c r="N1215" s="8" t="s">
        <v>74</v>
      </c>
      <c r="O1215" s="8" t="s">
        <v>93</v>
      </c>
      <c r="P1215" s="6" t="s">
        <v>176</v>
      </c>
      <c r="Q1215" s="8" t="s">
        <v>187</v>
      </c>
      <c r="R1215" s="10" t="s">
        <v>7410</v>
      </c>
      <c r="S1215" s="11" t="s">
        <v>7411</v>
      </c>
      <c r="T1215" s="6"/>
      <c r="U1215" s="28" t="str">
        <f>HYPERLINK("https://media.infra-m.ru/1178/1178795/cover/1178795.jpg", "Обложка")</f>
        <v>Обложка</v>
      </c>
      <c r="V1215" s="28" t="str">
        <f>HYPERLINK("https://znanium.ru/catalog/product/1178795", "Ознакомиться")</f>
        <v>Ознакомиться</v>
      </c>
      <c r="W1215" s="8" t="s">
        <v>355</v>
      </c>
      <c r="X1215" s="6"/>
      <c r="Y1215" s="6"/>
      <c r="Z1215" s="6" t="s">
        <v>192</v>
      </c>
      <c r="AA1215" s="6" t="s">
        <v>193</v>
      </c>
    </row>
    <row r="1216" spans="1:27" s="4" customFormat="1" ht="51.95" customHeight="1">
      <c r="A1216" s="5">
        <v>0</v>
      </c>
      <c r="B1216" s="6" t="s">
        <v>7412</v>
      </c>
      <c r="C1216" s="7">
        <v>2080</v>
      </c>
      <c r="D1216" s="8" t="s">
        <v>7413</v>
      </c>
      <c r="E1216" s="8" t="s">
        <v>7366</v>
      </c>
      <c r="F1216" s="8" t="s">
        <v>2490</v>
      </c>
      <c r="G1216" s="6" t="s">
        <v>123</v>
      </c>
      <c r="H1216" s="6" t="s">
        <v>38</v>
      </c>
      <c r="I1216" s="8" t="s">
        <v>164</v>
      </c>
      <c r="J1216" s="9">
        <v>1</v>
      </c>
      <c r="K1216" s="9">
        <v>461</v>
      </c>
      <c r="L1216" s="9">
        <v>2023</v>
      </c>
      <c r="M1216" s="8" t="s">
        <v>7414</v>
      </c>
      <c r="N1216" s="8" t="s">
        <v>74</v>
      </c>
      <c r="O1216" s="8" t="s">
        <v>93</v>
      </c>
      <c r="P1216" s="6" t="s">
        <v>176</v>
      </c>
      <c r="Q1216" s="8" t="s">
        <v>56</v>
      </c>
      <c r="R1216" s="10" t="s">
        <v>1076</v>
      </c>
      <c r="S1216" s="11" t="s">
        <v>7415</v>
      </c>
      <c r="T1216" s="6"/>
      <c r="U1216" s="28" t="str">
        <f>HYPERLINK("https://media.infra-m.ru/1941/1941769/cover/1941769.jpg", "Обложка")</f>
        <v>Обложка</v>
      </c>
      <c r="V1216" s="28" t="str">
        <f>HYPERLINK("https://znanium.ru/catalog/product/1941769", "Ознакомиться")</f>
        <v>Ознакомиться</v>
      </c>
      <c r="W1216" s="8" t="s">
        <v>355</v>
      </c>
      <c r="X1216" s="6"/>
      <c r="Y1216" s="6"/>
      <c r="Z1216" s="6"/>
      <c r="AA1216" s="6" t="s">
        <v>59</v>
      </c>
    </row>
    <row r="1217" spans="1:27" s="4" customFormat="1" ht="51.95" customHeight="1">
      <c r="A1217" s="5">
        <v>0</v>
      </c>
      <c r="B1217" s="6" t="s">
        <v>7416</v>
      </c>
      <c r="C1217" s="7">
        <v>1444</v>
      </c>
      <c r="D1217" s="8" t="s">
        <v>7417</v>
      </c>
      <c r="E1217" s="8" t="s">
        <v>7366</v>
      </c>
      <c r="F1217" s="8" t="s">
        <v>2169</v>
      </c>
      <c r="G1217" s="6" t="s">
        <v>123</v>
      </c>
      <c r="H1217" s="6" t="s">
        <v>470</v>
      </c>
      <c r="I1217" s="8"/>
      <c r="J1217" s="9">
        <v>1</v>
      </c>
      <c r="K1217" s="9">
        <v>313</v>
      </c>
      <c r="L1217" s="9">
        <v>2024</v>
      </c>
      <c r="M1217" s="8" t="s">
        <v>7418</v>
      </c>
      <c r="N1217" s="8" t="s">
        <v>74</v>
      </c>
      <c r="O1217" s="8" t="s">
        <v>93</v>
      </c>
      <c r="P1217" s="6" t="s">
        <v>176</v>
      </c>
      <c r="Q1217" s="8" t="s">
        <v>56</v>
      </c>
      <c r="R1217" s="10" t="s">
        <v>7358</v>
      </c>
      <c r="S1217" s="11" t="s">
        <v>7419</v>
      </c>
      <c r="T1217" s="6"/>
      <c r="U1217" s="28" t="str">
        <f>HYPERLINK("https://media.infra-m.ru/2056/2056807/cover/2056807.jpg", "Обложка")</f>
        <v>Обложка</v>
      </c>
      <c r="V1217" s="28" t="str">
        <f>HYPERLINK("https://znanium.ru/catalog/product/2056807", "Ознакомиться")</f>
        <v>Ознакомиться</v>
      </c>
      <c r="W1217" s="8" t="s">
        <v>140</v>
      </c>
      <c r="X1217" s="6"/>
      <c r="Y1217" s="6"/>
      <c r="Z1217" s="6"/>
      <c r="AA1217" s="6" t="s">
        <v>274</v>
      </c>
    </row>
    <row r="1218" spans="1:27" s="4" customFormat="1" ht="51.95" customHeight="1">
      <c r="A1218" s="5">
        <v>0</v>
      </c>
      <c r="B1218" s="6" t="s">
        <v>7420</v>
      </c>
      <c r="C1218" s="13">
        <v>424.9</v>
      </c>
      <c r="D1218" s="8" t="s">
        <v>7421</v>
      </c>
      <c r="E1218" s="8" t="s">
        <v>7366</v>
      </c>
      <c r="F1218" s="8" t="s">
        <v>1527</v>
      </c>
      <c r="G1218" s="6" t="s">
        <v>123</v>
      </c>
      <c r="H1218" s="6" t="s">
        <v>528</v>
      </c>
      <c r="I1218" s="8" t="s">
        <v>3805</v>
      </c>
      <c r="J1218" s="9">
        <v>20</v>
      </c>
      <c r="K1218" s="9">
        <v>192</v>
      </c>
      <c r="L1218" s="9">
        <v>2016</v>
      </c>
      <c r="M1218" s="8" t="s">
        <v>7422</v>
      </c>
      <c r="N1218" s="8" t="s">
        <v>74</v>
      </c>
      <c r="O1218" s="8" t="s">
        <v>93</v>
      </c>
      <c r="P1218" s="6" t="s">
        <v>55</v>
      </c>
      <c r="Q1218" s="8" t="s">
        <v>56</v>
      </c>
      <c r="R1218" s="10" t="s">
        <v>1076</v>
      </c>
      <c r="S1218" s="11" t="s">
        <v>7423</v>
      </c>
      <c r="T1218" s="6"/>
      <c r="U1218" s="28" t="str">
        <f>HYPERLINK("https://media.infra-m.ru/0548/0548588/cover/548588.jpg", "Обложка")</f>
        <v>Обложка</v>
      </c>
      <c r="V1218" s="28" t="str">
        <f>HYPERLINK("https://znanium.ru/catalog/product/1930709", "Ознакомиться")</f>
        <v>Ознакомиться</v>
      </c>
      <c r="W1218" s="8" t="s">
        <v>1530</v>
      </c>
      <c r="X1218" s="6"/>
      <c r="Y1218" s="6"/>
      <c r="Z1218" s="6"/>
      <c r="AA1218" s="6" t="s">
        <v>47</v>
      </c>
    </row>
    <row r="1219" spans="1:27" s="4" customFormat="1" ht="42" customHeight="1">
      <c r="A1219" s="5">
        <v>0</v>
      </c>
      <c r="B1219" s="6" t="s">
        <v>7424</v>
      </c>
      <c r="C1219" s="13">
        <v>428</v>
      </c>
      <c r="D1219" s="8" t="s">
        <v>7425</v>
      </c>
      <c r="E1219" s="8" t="s">
        <v>7396</v>
      </c>
      <c r="F1219" s="8" t="s">
        <v>7426</v>
      </c>
      <c r="G1219" s="6" t="s">
        <v>37</v>
      </c>
      <c r="H1219" s="6" t="s">
        <v>317</v>
      </c>
      <c r="I1219" s="8" t="s">
        <v>2731</v>
      </c>
      <c r="J1219" s="9">
        <v>1</v>
      </c>
      <c r="K1219" s="9">
        <v>136</v>
      </c>
      <c r="L1219" s="9">
        <v>2024</v>
      </c>
      <c r="M1219" s="8" t="s">
        <v>7427</v>
      </c>
      <c r="N1219" s="8" t="s">
        <v>74</v>
      </c>
      <c r="O1219" s="8" t="s">
        <v>93</v>
      </c>
      <c r="P1219" s="6" t="s">
        <v>55</v>
      </c>
      <c r="Q1219" s="8" t="s">
        <v>56</v>
      </c>
      <c r="R1219" s="10" t="s">
        <v>1076</v>
      </c>
      <c r="S1219" s="11"/>
      <c r="T1219" s="6"/>
      <c r="U1219" s="28" t="str">
        <f>HYPERLINK("https://media.infra-m.ru/2136/2136874/cover/2136874.jpg", "Обложка")</f>
        <v>Обложка</v>
      </c>
      <c r="V1219" s="28" t="str">
        <f>HYPERLINK("https://znanium.ru/catalog/product/2136874", "Ознакомиться")</f>
        <v>Ознакомиться</v>
      </c>
      <c r="W1219" s="8" t="s">
        <v>2156</v>
      </c>
      <c r="X1219" s="6"/>
      <c r="Y1219" s="6"/>
      <c r="Z1219" s="6"/>
      <c r="AA1219" s="6" t="s">
        <v>1217</v>
      </c>
    </row>
    <row r="1220" spans="1:27" s="4" customFormat="1" ht="51.95" customHeight="1">
      <c r="A1220" s="5">
        <v>0</v>
      </c>
      <c r="B1220" s="6" t="s">
        <v>7428</v>
      </c>
      <c r="C1220" s="13">
        <v>744</v>
      </c>
      <c r="D1220" s="8" t="s">
        <v>7429</v>
      </c>
      <c r="E1220" s="8" t="s">
        <v>7396</v>
      </c>
      <c r="F1220" s="8" t="s">
        <v>7430</v>
      </c>
      <c r="G1220" s="6" t="s">
        <v>123</v>
      </c>
      <c r="H1220" s="6" t="s">
        <v>38</v>
      </c>
      <c r="I1220" s="8" t="s">
        <v>164</v>
      </c>
      <c r="J1220" s="9">
        <v>1</v>
      </c>
      <c r="K1220" s="9">
        <v>162</v>
      </c>
      <c r="L1220" s="9">
        <v>2023</v>
      </c>
      <c r="M1220" s="8" t="s">
        <v>7431</v>
      </c>
      <c r="N1220" s="8" t="s">
        <v>74</v>
      </c>
      <c r="O1220" s="8" t="s">
        <v>93</v>
      </c>
      <c r="P1220" s="6" t="s">
        <v>55</v>
      </c>
      <c r="Q1220" s="8" t="s">
        <v>56</v>
      </c>
      <c r="R1220" s="10" t="s">
        <v>1076</v>
      </c>
      <c r="S1220" s="11" t="s">
        <v>2385</v>
      </c>
      <c r="T1220" s="6"/>
      <c r="U1220" s="28" t="str">
        <f>HYPERLINK("https://media.infra-m.ru/2110/2110070/cover/2110070.jpg", "Обложка")</f>
        <v>Обложка</v>
      </c>
      <c r="V1220" s="28" t="str">
        <f>HYPERLINK("https://znanium.ru/catalog/product/1931512", "Ознакомиться")</f>
        <v>Ознакомиться</v>
      </c>
      <c r="W1220" s="8" t="s">
        <v>1472</v>
      </c>
      <c r="X1220" s="6"/>
      <c r="Y1220" s="6"/>
      <c r="Z1220" s="6"/>
      <c r="AA1220" s="6" t="s">
        <v>312</v>
      </c>
    </row>
    <row r="1221" spans="1:27" s="4" customFormat="1" ht="51.95" customHeight="1">
      <c r="A1221" s="5">
        <v>0</v>
      </c>
      <c r="B1221" s="6" t="s">
        <v>7432</v>
      </c>
      <c r="C1221" s="13">
        <v>830</v>
      </c>
      <c r="D1221" s="8" t="s">
        <v>7433</v>
      </c>
      <c r="E1221" s="8" t="s">
        <v>7396</v>
      </c>
      <c r="F1221" s="8" t="s">
        <v>7434</v>
      </c>
      <c r="G1221" s="6" t="s">
        <v>83</v>
      </c>
      <c r="H1221" s="6" t="s">
        <v>38</v>
      </c>
      <c r="I1221" s="8" t="s">
        <v>164</v>
      </c>
      <c r="J1221" s="9">
        <v>1</v>
      </c>
      <c r="K1221" s="9">
        <v>180</v>
      </c>
      <c r="L1221" s="9">
        <v>2023</v>
      </c>
      <c r="M1221" s="8" t="s">
        <v>7435</v>
      </c>
      <c r="N1221" s="8" t="s">
        <v>74</v>
      </c>
      <c r="O1221" s="8" t="s">
        <v>93</v>
      </c>
      <c r="P1221" s="6" t="s">
        <v>55</v>
      </c>
      <c r="Q1221" s="8" t="s">
        <v>56</v>
      </c>
      <c r="R1221" s="10" t="s">
        <v>1076</v>
      </c>
      <c r="S1221" s="11" t="s">
        <v>7436</v>
      </c>
      <c r="T1221" s="6"/>
      <c r="U1221" s="28" t="str">
        <f>HYPERLINK("https://media.infra-m.ru/1930/1930709/cover/1930709.jpg", "Обложка")</f>
        <v>Обложка</v>
      </c>
      <c r="V1221" s="28" t="str">
        <f>HYPERLINK("https://znanium.ru/catalog/product/1930709", "Ознакомиться")</f>
        <v>Ознакомиться</v>
      </c>
      <c r="W1221" s="8" t="s">
        <v>1530</v>
      </c>
      <c r="X1221" s="6"/>
      <c r="Y1221" s="6"/>
      <c r="Z1221" s="6"/>
      <c r="AA1221" s="6" t="s">
        <v>1772</v>
      </c>
    </row>
    <row r="1222" spans="1:27" s="4" customFormat="1" ht="51.95" customHeight="1">
      <c r="A1222" s="5">
        <v>0</v>
      </c>
      <c r="B1222" s="6" t="s">
        <v>7437</v>
      </c>
      <c r="C1222" s="13">
        <v>854.9</v>
      </c>
      <c r="D1222" s="8" t="s">
        <v>7438</v>
      </c>
      <c r="E1222" s="8" t="s">
        <v>7366</v>
      </c>
      <c r="F1222" s="8" t="s">
        <v>7323</v>
      </c>
      <c r="G1222" s="6" t="s">
        <v>83</v>
      </c>
      <c r="H1222" s="6" t="s">
        <v>38</v>
      </c>
      <c r="I1222" s="8" t="s">
        <v>164</v>
      </c>
      <c r="J1222" s="9">
        <v>1</v>
      </c>
      <c r="K1222" s="9">
        <v>190</v>
      </c>
      <c r="L1222" s="9">
        <v>2023</v>
      </c>
      <c r="M1222" s="8" t="s">
        <v>7439</v>
      </c>
      <c r="N1222" s="8" t="s">
        <v>74</v>
      </c>
      <c r="O1222" s="8" t="s">
        <v>93</v>
      </c>
      <c r="P1222" s="6" t="s">
        <v>55</v>
      </c>
      <c r="Q1222" s="8" t="s">
        <v>56</v>
      </c>
      <c r="R1222" s="10" t="s">
        <v>1076</v>
      </c>
      <c r="S1222" s="11" t="s">
        <v>7440</v>
      </c>
      <c r="T1222" s="6"/>
      <c r="U1222" s="28" t="str">
        <f>HYPERLINK("https://media.infra-m.ru/2002/2002621/cover/2002621.jpg", "Обложка")</f>
        <v>Обложка</v>
      </c>
      <c r="V1222" s="28" t="str">
        <f>HYPERLINK("https://znanium.ru/catalog/product/2002621", "Ознакомиться")</f>
        <v>Ознакомиться</v>
      </c>
      <c r="W1222" s="8" t="s">
        <v>962</v>
      </c>
      <c r="X1222" s="6"/>
      <c r="Y1222" s="6"/>
      <c r="Z1222" s="6"/>
      <c r="AA1222" s="6" t="s">
        <v>68</v>
      </c>
    </row>
    <row r="1223" spans="1:27" s="4" customFormat="1" ht="42" customHeight="1">
      <c r="A1223" s="5">
        <v>0</v>
      </c>
      <c r="B1223" s="6" t="s">
        <v>7441</v>
      </c>
      <c r="C1223" s="7">
        <v>1364.9</v>
      </c>
      <c r="D1223" s="8" t="s">
        <v>7442</v>
      </c>
      <c r="E1223" s="8" t="s">
        <v>7366</v>
      </c>
      <c r="F1223" s="8" t="s">
        <v>7443</v>
      </c>
      <c r="G1223" s="6" t="s">
        <v>123</v>
      </c>
      <c r="H1223" s="6" t="s">
        <v>38</v>
      </c>
      <c r="I1223" s="8" t="s">
        <v>164</v>
      </c>
      <c r="J1223" s="9">
        <v>1</v>
      </c>
      <c r="K1223" s="9">
        <v>304</v>
      </c>
      <c r="L1223" s="9">
        <v>2021</v>
      </c>
      <c r="M1223" s="8" t="s">
        <v>7444</v>
      </c>
      <c r="N1223" s="8" t="s">
        <v>74</v>
      </c>
      <c r="O1223" s="8" t="s">
        <v>93</v>
      </c>
      <c r="P1223" s="6" t="s">
        <v>55</v>
      </c>
      <c r="Q1223" s="8" t="s">
        <v>56</v>
      </c>
      <c r="R1223" s="10" t="s">
        <v>1076</v>
      </c>
      <c r="S1223" s="11"/>
      <c r="T1223" s="6"/>
      <c r="U1223" s="28" t="str">
        <f>HYPERLINK("https://media.infra-m.ru/1189/1189957/cover/1189957.jpg", "Обложка")</f>
        <v>Обложка</v>
      </c>
      <c r="V1223" s="28" t="str">
        <f>HYPERLINK("https://znanium.ru/catalog/product/1920306", "Ознакомиться")</f>
        <v>Ознакомиться</v>
      </c>
      <c r="W1223" s="8" t="s">
        <v>2883</v>
      </c>
      <c r="X1223" s="6"/>
      <c r="Y1223" s="6"/>
      <c r="Z1223" s="6"/>
      <c r="AA1223" s="6" t="s">
        <v>59</v>
      </c>
    </row>
    <row r="1224" spans="1:27" s="4" customFormat="1" ht="51.95" customHeight="1">
      <c r="A1224" s="5">
        <v>0</v>
      </c>
      <c r="B1224" s="6" t="s">
        <v>7445</v>
      </c>
      <c r="C1224" s="7">
        <v>1090</v>
      </c>
      <c r="D1224" s="8" t="s">
        <v>7446</v>
      </c>
      <c r="E1224" s="8" t="s">
        <v>7447</v>
      </c>
      <c r="F1224" s="8" t="s">
        <v>7448</v>
      </c>
      <c r="G1224" s="6" t="s">
        <v>83</v>
      </c>
      <c r="H1224" s="6" t="s">
        <v>38</v>
      </c>
      <c r="I1224" s="8" t="s">
        <v>7449</v>
      </c>
      <c r="J1224" s="9">
        <v>1</v>
      </c>
      <c r="K1224" s="9">
        <v>236</v>
      </c>
      <c r="L1224" s="9">
        <v>2024</v>
      </c>
      <c r="M1224" s="8" t="s">
        <v>7450</v>
      </c>
      <c r="N1224" s="8" t="s">
        <v>74</v>
      </c>
      <c r="O1224" s="8" t="s">
        <v>93</v>
      </c>
      <c r="P1224" s="6" t="s">
        <v>55</v>
      </c>
      <c r="Q1224" s="8" t="s">
        <v>56</v>
      </c>
      <c r="R1224" s="10" t="s">
        <v>2826</v>
      </c>
      <c r="S1224" s="11" t="s">
        <v>7451</v>
      </c>
      <c r="T1224" s="6" t="s">
        <v>190</v>
      </c>
      <c r="U1224" s="28" t="str">
        <f>HYPERLINK("https://media.infra-m.ru/2104/2104869/cover/2104869.jpg", "Обложка")</f>
        <v>Обложка</v>
      </c>
      <c r="V1224" s="28" t="str">
        <f>HYPERLINK("https://znanium.ru/catalog/product/2104869", "Ознакомиться")</f>
        <v>Ознакомиться</v>
      </c>
      <c r="W1224" s="8" t="s">
        <v>2608</v>
      </c>
      <c r="X1224" s="6"/>
      <c r="Y1224" s="6"/>
      <c r="Z1224" s="6"/>
      <c r="AA1224" s="6" t="s">
        <v>3165</v>
      </c>
    </row>
    <row r="1225" spans="1:27" s="4" customFormat="1" ht="51.95" customHeight="1">
      <c r="A1225" s="5">
        <v>0</v>
      </c>
      <c r="B1225" s="6" t="s">
        <v>7452</v>
      </c>
      <c r="C1225" s="7">
        <v>1410</v>
      </c>
      <c r="D1225" s="8" t="s">
        <v>7453</v>
      </c>
      <c r="E1225" s="8" t="s">
        <v>7454</v>
      </c>
      <c r="F1225" s="8" t="s">
        <v>7455</v>
      </c>
      <c r="G1225" s="6" t="s">
        <v>83</v>
      </c>
      <c r="H1225" s="6" t="s">
        <v>618</v>
      </c>
      <c r="I1225" s="8"/>
      <c r="J1225" s="9">
        <v>1</v>
      </c>
      <c r="K1225" s="9">
        <v>336</v>
      </c>
      <c r="L1225" s="9">
        <v>2022</v>
      </c>
      <c r="M1225" s="8" t="s">
        <v>7456</v>
      </c>
      <c r="N1225" s="8" t="s">
        <v>41</v>
      </c>
      <c r="O1225" s="8" t="s">
        <v>65</v>
      </c>
      <c r="P1225" s="6" t="s">
        <v>43</v>
      </c>
      <c r="Q1225" s="8" t="s">
        <v>44</v>
      </c>
      <c r="R1225" s="10" t="s">
        <v>7457</v>
      </c>
      <c r="S1225" s="11"/>
      <c r="T1225" s="6"/>
      <c r="U1225" s="28" t="str">
        <f>HYPERLINK("https://media.infra-m.ru/1875/1875438/cover/1875438.jpg", "Обложка")</f>
        <v>Обложка</v>
      </c>
      <c r="V1225" s="28" t="str">
        <f>HYPERLINK("https://znanium.ru/catalog/product/1875438", "Ознакомиться")</f>
        <v>Ознакомиться</v>
      </c>
      <c r="W1225" s="8" t="s">
        <v>5060</v>
      </c>
      <c r="X1225" s="6"/>
      <c r="Y1225" s="6"/>
      <c r="Z1225" s="6"/>
      <c r="AA1225" s="6" t="s">
        <v>78</v>
      </c>
    </row>
    <row r="1226" spans="1:27" s="4" customFormat="1" ht="42" customHeight="1">
      <c r="A1226" s="5">
        <v>0</v>
      </c>
      <c r="B1226" s="6" t="s">
        <v>7458</v>
      </c>
      <c r="C1226" s="7">
        <v>1100</v>
      </c>
      <c r="D1226" s="8" t="s">
        <v>7459</v>
      </c>
      <c r="E1226" s="8" t="s">
        <v>7460</v>
      </c>
      <c r="F1226" s="8" t="s">
        <v>7461</v>
      </c>
      <c r="G1226" s="6" t="s">
        <v>37</v>
      </c>
      <c r="H1226" s="6" t="s">
        <v>38</v>
      </c>
      <c r="I1226" s="8" t="s">
        <v>39</v>
      </c>
      <c r="J1226" s="9">
        <v>1</v>
      </c>
      <c r="K1226" s="9">
        <v>262</v>
      </c>
      <c r="L1226" s="9">
        <v>2022</v>
      </c>
      <c r="M1226" s="8" t="s">
        <v>7462</v>
      </c>
      <c r="N1226" s="8" t="s">
        <v>74</v>
      </c>
      <c r="O1226" s="8" t="s">
        <v>93</v>
      </c>
      <c r="P1226" s="6" t="s">
        <v>43</v>
      </c>
      <c r="Q1226" s="8" t="s">
        <v>44</v>
      </c>
      <c r="R1226" s="10" t="s">
        <v>225</v>
      </c>
      <c r="S1226" s="11"/>
      <c r="T1226" s="6"/>
      <c r="U1226" s="28" t="str">
        <f>HYPERLINK("https://media.infra-m.ru/1864/1864984/cover/1864984.jpg", "Обложка")</f>
        <v>Обложка</v>
      </c>
      <c r="V1226" s="28" t="str">
        <f>HYPERLINK("https://znanium.ru/catalog/product/1864984", "Ознакомиться")</f>
        <v>Ознакомиться</v>
      </c>
      <c r="W1226" s="8" t="s">
        <v>1579</v>
      </c>
      <c r="X1226" s="6"/>
      <c r="Y1226" s="6"/>
      <c r="Z1226" s="6"/>
      <c r="AA1226" s="6" t="s">
        <v>78</v>
      </c>
    </row>
    <row r="1227" spans="1:27" s="4" customFormat="1" ht="44.1" customHeight="1">
      <c r="A1227" s="5">
        <v>0</v>
      </c>
      <c r="B1227" s="6" t="s">
        <v>7463</v>
      </c>
      <c r="C1227" s="13">
        <v>500</v>
      </c>
      <c r="D1227" s="8" t="s">
        <v>7464</v>
      </c>
      <c r="E1227" s="8" t="s">
        <v>7465</v>
      </c>
      <c r="F1227" s="8" t="s">
        <v>3584</v>
      </c>
      <c r="G1227" s="6" t="s">
        <v>37</v>
      </c>
      <c r="H1227" s="6" t="s">
        <v>38</v>
      </c>
      <c r="I1227" s="8" t="s">
        <v>39</v>
      </c>
      <c r="J1227" s="9">
        <v>1</v>
      </c>
      <c r="K1227" s="9">
        <v>159</v>
      </c>
      <c r="L1227" s="9">
        <v>2016</v>
      </c>
      <c r="M1227" s="8" t="s">
        <v>7466</v>
      </c>
      <c r="N1227" s="8" t="s">
        <v>74</v>
      </c>
      <c r="O1227" s="8" t="s">
        <v>93</v>
      </c>
      <c r="P1227" s="6" t="s">
        <v>43</v>
      </c>
      <c r="Q1227" s="8" t="s">
        <v>44</v>
      </c>
      <c r="R1227" s="10" t="s">
        <v>7467</v>
      </c>
      <c r="S1227" s="11"/>
      <c r="T1227" s="6"/>
      <c r="U1227" s="28" t="str">
        <f>HYPERLINK("https://media.infra-m.ru/0519/0519522/cover/519522.jpg", "Обложка")</f>
        <v>Обложка</v>
      </c>
      <c r="V1227" s="28" t="str">
        <f>HYPERLINK("https://znanium.ru/catalog/product/519522", "Ознакомиться")</f>
        <v>Ознакомиться</v>
      </c>
      <c r="W1227" s="8" t="s">
        <v>355</v>
      </c>
      <c r="X1227" s="6"/>
      <c r="Y1227" s="6"/>
      <c r="Z1227" s="6"/>
      <c r="AA1227" s="6" t="s">
        <v>364</v>
      </c>
    </row>
    <row r="1228" spans="1:27" s="4" customFormat="1" ht="42" customHeight="1">
      <c r="A1228" s="5">
        <v>0</v>
      </c>
      <c r="B1228" s="6" t="s">
        <v>7468</v>
      </c>
      <c r="C1228" s="13">
        <v>524</v>
      </c>
      <c r="D1228" s="8" t="s">
        <v>7469</v>
      </c>
      <c r="E1228" s="8" t="s">
        <v>7470</v>
      </c>
      <c r="F1228" s="8" t="s">
        <v>7471</v>
      </c>
      <c r="G1228" s="6" t="s">
        <v>37</v>
      </c>
      <c r="H1228" s="6" t="s">
        <v>38</v>
      </c>
      <c r="I1228" s="8" t="s">
        <v>325</v>
      </c>
      <c r="J1228" s="9">
        <v>1</v>
      </c>
      <c r="K1228" s="9">
        <v>115</v>
      </c>
      <c r="L1228" s="9">
        <v>2023</v>
      </c>
      <c r="M1228" s="8" t="s">
        <v>7472</v>
      </c>
      <c r="N1228" s="8" t="s">
        <v>74</v>
      </c>
      <c r="O1228" s="8" t="s">
        <v>93</v>
      </c>
      <c r="P1228" s="6" t="s">
        <v>43</v>
      </c>
      <c r="Q1228" s="8" t="s">
        <v>44</v>
      </c>
      <c r="R1228" s="10" t="s">
        <v>1710</v>
      </c>
      <c r="S1228" s="11"/>
      <c r="T1228" s="6"/>
      <c r="U1228" s="28" t="str">
        <f>HYPERLINK("https://media.infra-m.ru/2006/2006872/cover/2006872.jpg", "Обложка")</f>
        <v>Обложка</v>
      </c>
      <c r="V1228" s="12"/>
      <c r="W1228" s="8" t="s">
        <v>327</v>
      </c>
      <c r="X1228" s="6"/>
      <c r="Y1228" s="6"/>
      <c r="Z1228" s="6"/>
      <c r="AA1228" s="6" t="s">
        <v>68</v>
      </c>
    </row>
    <row r="1229" spans="1:27" s="4" customFormat="1" ht="42" customHeight="1">
      <c r="A1229" s="5">
        <v>0</v>
      </c>
      <c r="B1229" s="6" t="s">
        <v>7473</v>
      </c>
      <c r="C1229" s="7">
        <v>1790</v>
      </c>
      <c r="D1229" s="8" t="s">
        <v>7474</v>
      </c>
      <c r="E1229" s="8" t="s">
        <v>7475</v>
      </c>
      <c r="F1229" s="8" t="s">
        <v>7476</v>
      </c>
      <c r="G1229" s="6" t="s">
        <v>37</v>
      </c>
      <c r="H1229" s="6" t="s">
        <v>38</v>
      </c>
      <c r="I1229" s="8" t="s">
        <v>39</v>
      </c>
      <c r="J1229" s="9">
        <v>1</v>
      </c>
      <c r="K1229" s="9">
        <v>390</v>
      </c>
      <c r="L1229" s="9">
        <v>2024</v>
      </c>
      <c r="M1229" s="8" t="s">
        <v>7477</v>
      </c>
      <c r="N1229" s="8" t="s">
        <v>74</v>
      </c>
      <c r="O1229" s="8" t="s">
        <v>93</v>
      </c>
      <c r="P1229" s="6" t="s">
        <v>43</v>
      </c>
      <c r="Q1229" s="8" t="s">
        <v>44</v>
      </c>
      <c r="R1229" s="10" t="s">
        <v>225</v>
      </c>
      <c r="S1229" s="11"/>
      <c r="T1229" s="6"/>
      <c r="U1229" s="28" t="str">
        <f>HYPERLINK("https://media.infra-m.ru/2079/2079260/cover/2079260.jpg", "Обложка")</f>
        <v>Обложка</v>
      </c>
      <c r="V1229" s="28" t="str">
        <f>HYPERLINK("https://znanium.ru/catalog/product/2079260", "Ознакомиться")</f>
        <v>Ознакомиться</v>
      </c>
      <c r="W1229" s="8" t="s">
        <v>3394</v>
      </c>
      <c r="X1229" s="6"/>
      <c r="Y1229" s="6"/>
      <c r="Z1229" s="6"/>
      <c r="AA1229" s="6" t="s">
        <v>141</v>
      </c>
    </row>
    <row r="1230" spans="1:27" s="4" customFormat="1" ht="51.95" customHeight="1">
      <c r="A1230" s="5">
        <v>0</v>
      </c>
      <c r="B1230" s="6" t="s">
        <v>7478</v>
      </c>
      <c r="C1230" s="13">
        <v>850</v>
      </c>
      <c r="D1230" s="8" t="s">
        <v>7479</v>
      </c>
      <c r="E1230" s="8" t="s">
        <v>7480</v>
      </c>
      <c r="F1230" s="8" t="s">
        <v>7481</v>
      </c>
      <c r="G1230" s="6" t="s">
        <v>37</v>
      </c>
      <c r="H1230" s="6" t="s">
        <v>470</v>
      </c>
      <c r="I1230" s="8" t="s">
        <v>470</v>
      </c>
      <c r="J1230" s="9">
        <v>1</v>
      </c>
      <c r="K1230" s="9">
        <v>274</v>
      </c>
      <c r="L1230" s="9">
        <v>2018</v>
      </c>
      <c r="M1230" s="8" t="s">
        <v>7482</v>
      </c>
      <c r="N1230" s="8" t="s">
        <v>74</v>
      </c>
      <c r="O1230" s="8" t="s">
        <v>93</v>
      </c>
      <c r="P1230" s="6" t="s">
        <v>43</v>
      </c>
      <c r="Q1230" s="8" t="s">
        <v>594</v>
      </c>
      <c r="R1230" s="10" t="s">
        <v>7483</v>
      </c>
      <c r="S1230" s="11"/>
      <c r="T1230" s="6"/>
      <c r="U1230" s="28" t="str">
        <f>HYPERLINK("https://media.infra-m.ru/0939/0939414/cover/939414.jpg", "Обложка")</f>
        <v>Обложка</v>
      </c>
      <c r="V1230" s="28" t="str">
        <f>HYPERLINK("https://znanium.ru/catalog/product/1760131", "Ознакомиться")</f>
        <v>Ознакомиться</v>
      </c>
      <c r="W1230" s="8" t="s">
        <v>149</v>
      </c>
      <c r="X1230" s="6"/>
      <c r="Y1230" s="6"/>
      <c r="Z1230" s="6"/>
      <c r="AA1230" s="6" t="s">
        <v>650</v>
      </c>
    </row>
    <row r="1231" spans="1:27" s="4" customFormat="1" ht="51.95" customHeight="1">
      <c r="A1231" s="5">
        <v>0</v>
      </c>
      <c r="B1231" s="6" t="s">
        <v>7484</v>
      </c>
      <c r="C1231" s="7">
        <v>1234.9000000000001</v>
      </c>
      <c r="D1231" s="8" t="s">
        <v>7485</v>
      </c>
      <c r="E1231" s="8" t="s">
        <v>7486</v>
      </c>
      <c r="F1231" s="8" t="s">
        <v>7481</v>
      </c>
      <c r="G1231" s="6" t="s">
        <v>37</v>
      </c>
      <c r="H1231" s="6" t="s">
        <v>470</v>
      </c>
      <c r="I1231" s="8" t="s">
        <v>1184</v>
      </c>
      <c r="J1231" s="9">
        <v>1</v>
      </c>
      <c r="K1231" s="9">
        <v>274</v>
      </c>
      <c r="L1231" s="9">
        <v>2023</v>
      </c>
      <c r="M1231" s="8" t="s">
        <v>7487</v>
      </c>
      <c r="N1231" s="8" t="s">
        <v>74</v>
      </c>
      <c r="O1231" s="8" t="s">
        <v>93</v>
      </c>
      <c r="P1231" s="6" t="s">
        <v>43</v>
      </c>
      <c r="Q1231" s="8" t="s">
        <v>44</v>
      </c>
      <c r="R1231" s="10" t="s">
        <v>7483</v>
      </c>
      <c r="S1231" s="11"/>
      <c r="T1231" s="6"/>
      <c r="U1231" s="28" t="str">
        <f>HYPERLINK("https://media.infra-m.ru/1986/1986694/cover/1986694.jpg", "Обложка")</f>
        <v>Обложка</v>
      </c>
      <c r="V1231" s="28" t="str">
        <f>HYPERLINK("https://znanium.ru/catalog/product/1760131", "Ознакомиться")</f>
        <v>Ознакомиться</v>
      </c>
      <c r="W1231" s="8" t="s">
        <v>149</v>
      </c>
      <c r="X1231" s="6"/>
      <c r="Y1231" s="6"/>
      <c r="Z1231" s="6"/>
      <c r="AA1231" s="6" t="s">
        <v>312</v>
      </c>
    </row>
    <row r="1232" spans="1:27" s="4" customFormat="1" ht="51.95" customHeight="1">
      <c r="A1232" s="5">
        <v>0</v>
      </c>
      <c r="B1232" s="6" t="s">
        <v>7488</v>
      </c>
      <c r="C1232" s="7">
        <v>1044</v>
      </c>
      <c r="D1232" s="8" t="s">
        <v>7489</v>
      </c>
      <c r="E1232" s="8" t="s">
        <v>7490</v>
      </c>
      <c r="F1232" s="8" t="s">
        <v>7491</v>
      </c>
      <c r="G1232" s="6" t="s">
        <v>83</v>
      </c>
      <c r="H1232" s="6" t="s">
        <v>38</v>
      </c>
      <c r="I1232" s="8" t="s">
        <v>205</v>
      </c>
      <c r="J1232" s="9">
        <v>1</v>
      </c>
      <c r="K1232" s="9">
        <v>221</v>
      </c>
      <c r="L1232" s="9">
        <v>2024</v>
      </c>
      <c r="M1232" s="8" t="s">
        <v>7492</v>
      </c>
      <c r="N1232" s="8" t="s">
        <v>74</v>
      </c>
      <c r="O1232" s="8" t="s">
        <v>394</v>
      </c>
      <c r="P1232" s="6" t="s">
        <v>55</v>
      </c>
      <c r="Q1232" s="8" t="s">
        <v>207</v>
      </c>
      <c r="R1232" s="10" t="s">
        <v>7493</v>
      </c>
      <c r="S1232" s="11" t="s">
        <v>7494</v>
      </c>
      <c r="T1232" s="6" t="s">
        <v>190</v>
      </c>
      <c r="U1232" s="28" t="str">
        <f>HYPERLINK("https://media.infra-m.ru/2151/2151181/cover/2151181.jpg", "Обложка")</f>
        <v>Обложка</v>
      </c>
      <c r="V1232" s="28" t="str">
        <f>HYPERLINK("https://znanium.ru/catalog/product/2107429", "Ознакомиться")</f>
        <v>Ознакомиться</v>
      </c>
      <c r="W1232" s="8" t="s">
        <v>7495</v>
      </c>
      <c r="X1232" s="6"/>
      <c r="Y1232" s="6"/>
      <c r="Z1232" s="6"/>
      <c r="AA1232" s="6" t="s">
        <v>290</v>
      </c>
    </row>
    <row r="1233" spans="1:27" s="4" customFormat="1" ht="51.95" customHeight="1">
      <c r="A1233" s="5">
        <v>0</v>
      </c>
      <c r="B1233" s="6" t="s">
        <v>7496</v>
      </c>
      <c r="C1233" s="7">
        <v>1214</v>
      </c>
      <c r="D1233" s="8" t="s">
        <v>7497</v>
      </c>
      <c r="E1233" s="8" t="s">
        <v>7498</v>
      </c>
      <c r="F1233" s="8" t="s">
        <v>7499</v>
      </c>
      <c r="G1233" s="6" t="s">
        <v>123</v>
      </c>
      <c r="H1233" s="6" t="s">
        <v>1701</v>
      </c>
      <c r="I1233" s="8" t="s">
        <v>492</v>
      </c>
      <c r="J1233" s="9">
        <v>16</v>
      </c>
      <c r="K1233" s="9">
        <v>256</v>
      </c>
      <c r="L1233" s="9">
        <v>2024</v>
      </c>
      <c r="M1233" s="8" t="s">
        <v>7500</v>
      </c>
      <c r="N1233" s="8" t="s">
        <v>74</v>
      </c>
      <c r="O1233" s="8" t="s">
        <v>75</v>
      </c>
      <c r="P1233" s="6" t="s">
        <v>55</v>
      </c>
      <c r="Q1233" s="8" t="s">
        <v>56</v>
      </c>
      <c r="R1233" s="10" t="s">
        <v>3769</v>
      </c>
      <c r="S1233" s="11" t="s">
        <v>7501</v>
      </c>
      <c r="T1233" s="6"/>
      <c r="U1233" s="28" t="str">
        <f>HYPERLINK("https://media.infra-m.ru/2147/2147932/cover/2147932.jpg", "Обложка")</f>
        <v>Обложка</v>
      </c>
      <c r="V1233" s="28" t="str">
        <f>HYPERLINK("https://znanium.ru/catalog/product/1237092", "Ознакомиться")</f>
        <v>Ознакомиться</v>
      </c>
      <c r="W1233" s="8" t="s">
        <v>7502</v>
      </c>
      <c r="X1233" s="6"/>
      <c r="Y1233" s="6"/>
      <c r="Z1233" s="6"/>
      <c r="AA1233" s="6" t="s">
        <v>3498</v>
      </c>
    </row>
    <row r="1234" spans="1:27" s="4" customFormat="1" ht="42" customHeight="1">
      <c r="A1234" s="5">
        <v>0</v>
      </c>
      <c r="B1234" s="6" t="s">
        <v>7503</v>
      </c>
      <c r="C1234" s="13">
        <v>924.9</v>
      </c>
      <c r="D1234" s="8" t="s">
        <v>7504</v>
      </c>
      <c r="E1234" s="8" t="s">
        <v>7505</v>
      </c>
      <c r="F1234" s="8" t="s">
        <v>7506</v>
      </c>
      <c r="G1234" s="6" t="s">
        <v>123</v>
      </c>
      <c r="H1234" s="6" t="s">
        <v>38</v>
      </c>
      <c r="I1234" s="8" t="s">
        <v>39</v>
      </c>
      <c r="J1234" s="9">
        <v>1</v>
      </c>
      <c r="K1234" s="9">
        <v>206</v>
      </c>
      <c r="L1234" s="9">
        <v>2023</v>
      </c>
      <c r="M1234" s="8" t="s">
        <v>7507</v>
      </c>
      <c r="N1234" s="8" t="s">
        <v>41</v>
      </c>
      <c r="O1234" s="8" t="s">
        <v>65</v>
      </c>
      <c r="P1234" s="6" t="s">
        <v>43</v>
      </c>
      <c r="Q1234" s="8" t="s">
        <v>44</v>
      </c>
      <c r="R1234" s="10" t="s">
        <v>5936</v>
      </c>
      <c r="S1234" s="11"/>
      <c r="T1234" s="6" t="s">
        <v>190</v>
      </c>
      <c r="U1234" s="28" t="str">
        <f>HYPERLINK("https://media.infra-m.ru/2002/2002630/cover/2002630.jpg", "Обложка")</f>
        <v>Обложка</v>
      </c>
      <c r="V1234" s="28" t="str">
        <f>HYPERLINK("https://znanium.ru/catalog/product/951722", "Ознакомиться")</f>
        <v>Ознакомиться</v>
      </c>
      <c r="W1234" s="8" t="s">
        <v>140</v>
      </c>
      <c r="X1234" s="6"/>
      <c r="Y1234" s="6"/>
      <c r="Z1234" s="6"/>
      <c r="AA1234" s="6" t="s">
        <v>650</v>
      </c>
    </row>
    <row r="1235" spans="1:27" s="4" customFormat="1" ht="51.95" customHeight="1">
      <c r="A1235" s="5">
        <v>0</v>
      </c>
      <c r="B1235" s="6" t="s">
        <v>7508</v>
      </c>
      <c r="C1235" s="13">
        <v>939.9</v>
      </c>
      <c r="D1235" s="8" t="s">
        <v>7509</v>
      </c>
      <c r="E1235" s="8" t="s">
        <v>7510</v>
      </c>
      <c r="F1235" s="8" t="s">
        <v>7009</v>
      </c>
      <c r="G1235" s="6" t="s">
        <v>83</v>
      </c>
      <c r="H1235" s="6" t="s">
        <v>528</v>
      </c>
      <c r="I1235" s="8" t="s">
        <v>529</v>
      </c>
      <c r="J1235" s="9">
        <v>1</v>
      </c>
      <c r="K1235" s="9">
        <v>319</v>
      </c>
      <c r="L1235" s="9">
        <v>2017</v>
      </c>
      <c r="M1235" s="8" t="s">
        <v>7511</v>
      </c>
      <c r="N1235" s="8" t="s">
        <v>74</v>
      </c>
      <c r="O1235" s="8" t="s">
        <v>394</v>
      </c>
      <c r="P1235" s="6" t="s">
        <v>55</v>
      </c>
      <c r="Q1235" s="8" t="s">
        <v>207</v>
      </c>
      <c r="R1235" s="10" t="s">
        <v>7011</v>
      </c>
      <c r="S1235" s="11" t="s">
        <v>7512</v>
      </c>
      <c r="T1235" s="6"/>
      <c r="U1235" s="28" t="str">
        <f>HYPERLINK("https://media.infra-m.ru/0809/0809827/cover/809827.jpg", "Обложка")</f>
        <v>Обложка</v>
      </c>
      <c r="V1235" s="28" t="str">
        <f>HYPERLINK("https://znanium.ru/catalog/product/2139080", "Ознакомиться")</f>
        <v>Ознакомиться</v>
      </c>
      <c r="W1235" s="8" t="s">
        <v>273</v>
      </c>
      <c r="X1235" s="6"/>
      <c r="Y1235" s="6"/>
      <c r="Z1235" s="6"/>
      <c r="AA1235" s="6" t="s">
        <v>59</v>
      </c>
    </row>
    <row r="1236" spans="1:27" s="4" customFormat="1" ht="51.95" customHeight="1">
      <c r="A1236" s="5">
        <v>0</v>
      </c>
      <c r="B1236" s="6" t="s">
        <v>7513</v>
      </c>
      <c r="C1236" s="13">
        <v>607</v>
      </c>
      <c r="D1236" s="8" t="s">
        <v>7514</v>
      </c>
      <c r="E1236" s="8" t="s">
        <v>7515</v>
      </c>
      <c r="F1236" s="8" t="s">
        <v>7516</v>
      </c>
      <c r="G1236" s="6" t="s">
        <v>37</v>
      </c>
      <c r="H1236" s="6" t="s">
        <v>630</v>
      </c>
      <c r="I1236" s="8"/>
      <c r="J1236" s="9">
        <v>1</v>
      </c>
      <c r="K1236" s="9">
        <v>80</v>
      </c>
      <c r="L1236" s="9">
        <v>2023</v>
      </c>
      <c r="M1236" s="8" t="s">
        <v>7517</v>
      </c>
      <c r="N1236" s="8" t="s">
        <v>74</v>
      </c>
      <c r="O1236" s="8" t="s">
        <v>394</v>
      </c>
      <c r="P1236" s="6" t="s">
        <v>55</v>
      </c>
      <c r="Q1236" s="8" t="s">
        <v>44</v>
      </c>
      <c r="R1236" s="10" t="s">
        <v>7518</v>
      </c>
      <c r="S1236" s="11"/>
      <c r="T1236" s="6"/>
      <c r="U1236" s="28" t="str">
        <f>HYPERLINK("https://media.infra-m.ru/2124/2124342/cover/2124342.jpg", "Обложка")</f>
        <v>Обложка</v>
      </c>
      <c r="V1236" s="28" t="str">
        <f>HYPERLINK("https://znanium.ru/catalog/product/791374", "Ознакомиться")</f>
        <v>Ознакомиться</v>
      </c>
      <c r="W1236" s="8" t="s">
        <v>7519</v>
      </c>
      <c r="X1236" s="6"/>
      <c r="Y1236" s="6"/>
      <c r="Z1236" s="6"/>
      <c r="AA1236" s="6" t="s">
        <v>47</v>
      </c>
    </row>
    <row r="1237" spans="1:27" s="4" customFormat="1" ht="44.1" customHeight="1">
      <c r="A1237" s="5">
        <v>0</v>
      </c>
      <c r="B1237" s="6" t="s">
        <v>7520</v>
      </c>
      <c r="C1237" s="13">
        <v>920</v>
      </c>
      <c r="D1237" s="8" t="s">
        <v>7521</v>
      </c>
      <c r="E1237" s="8" t="s">
        <v>7522</v>
      </c>
      <c r="F1237" s="8" t="s">
        <v>7523</v>
      </c>
      <c r="G1237" s="6" t="s">
        <v>83</v>
      </c>
      <c r="H1237" s="6" t="s">
        <v>618</v>
      </c>
      <c r="I1237" s="8"/>
      <c r="J1237" s="9">
        <v>1</v>
      </c>
      <c r="K1237" s="9">
        <v>192</v>
      </c>
      <c r="L1237" s="9">
        <v>2024</v>
      </c>
      <c r="M1237" s="8" t="s">
        <v>7524</v>
      </c>
      <c r="N1237" s="8" t="s">
        <v>74</v>
      </c>
      <c r="O1237" s="8" t="s">
        <v>75</v>
      </c>
      <c r="P1237" s="6" t="s">
        <v>55</v>
      </c>
      <c r="Q1237" s="8" t="s">
        <v>56</v>
      </c>
      <c r="R1237" s="10" t="s">
        <v>4242</v>
      </c>
      <c r="S1237" s="11"/>
      <c r="T1237" s="6"/>
      <c r="U1237" s="28" t="str">
        <f>HYPERLINK("https://media.infra-m.ru/2130/2130548/cover/2130548.jpg", "Обложка")</f>
        <v>Обложка</v>
      </c>
      <c r="V1237" s="28" t="str">
        <f>HYPERLINK("https://znanium.ru/catalog/product/2130548", "Ознакомиться")</f>
        <v>Ознакомиться</v>
      </c>
      <c r="W1237" s="8" t="s">
        <v>1334</v>
      </c>
      <c r="X1237" s="6"/>
      <c r="Y1237" s="6"/>
      <c r="Z1237" s="6"/>
      <c r="AA1237" s="6" t="s">
        <v>141</v>
      </c>
    </row>
    <row r="1238" spans="1:27" s="4" customFormat="1" ht="44.1" customHeight="1">
      <c r="A1238" s="5">
        <v>0</v>
      </c>
      <c r="B1238" s="6" t="s">
        <v>7525</v>
      </c>
      <c r="C1238" s="13">
        <v>850</v>
      </c>
      <c r="D1238" s="8" t="s">
        <v>7526</v>
      </c>
      <c r="E1238" s="8" t="s">
        <v>7527</v>
      </c>
      <c r="F1238" s="8" t="s">
        <v>7528</v>
      </c>
      <c r="G1238" s="6" t="s">
        <v>37</v>
      </c>
      <c r="H1238" s="6" t="s">
        <v>38</v>
      </c>
      <c r="I1238" s="8" t="s">
        <v>39</v>
      </c>
      <c r="J1238" s="9">
        <v>1</v>
      </c>
      <c r="K1238" s="9">
        <v>217</v>
      </c>
      <c r="L1238" s="9">
        <v>2020</v>
      </c>
      <c r="M1238" s="8" t="s">
        <v>7529</v>
      </c>
      <c r="N1238" s="8" t="s">
        <v>74</v>
      </c>
      <c r="O1238" s="8" t="s">
        <v>109</v>
      </c>
      <c r="P1238" s="6" t="s">
        <v>43</v>
      </c>
      <c r="Q1238" s="8" t="s">
        <v>44</v>
      </c>
      <c r="R1238" s="10" t="s">
        <v>7530</v>
      </c>
      <c r="S1238" s="11"/>
      <c r="T1238" s="6"/>
      <c r="U1238" s="28" t="str">
        <f>HYPERLINK("https://media.infra-m.ru/1053/1053569/cover/1053569.jpg", "Обложка")</f>
        <v>Обложка</v>
      </c>
      <c r="V1238" s="28" t="str">
        <f>HYPERLINK("https://znanium.ru/catalog/product/1053569", "Ознакомиться")</f>
        <v>Ознакомиться</v>
      </c>
      <c r="W1238" s="8" t="s">
        <v>95</v>
      </c>
      <c r="X1238" s="6"/>
      <c r="Y1238" s="6"/>
      <c r="Z1238" s="6"/>
      <c r="AA1238" s="6" t="s">
        <v>141</v>
      </c>
    </row>
    <row r="1239" spans="1:27" s="4" customFormat="1" ht="42" customHeight="1">
      <c r="A1239" s="5">
        <v>0</v>
      </c>
      <c r="B1239" s="6" t="s">
        <v>7531</v>
      </c>
      <c r="C1239" s="13">
        <v>750</v>
      </c>
      <c r="D1239" s="8" t="s">
        <v>7532</v>
      </c>
      <c r="E1239" s="8" t="s">
        <v>7533</v>
      </c>
      <c r="F1239" s="8" t="s">
        <v>7534</v>
      </c>
      <c r="G1239" s="6" t="s">
        <v>37</v>
      </c>
      <c r="H1239" s="6" t="s">
        <v>38</v>
      </c>
      <c r="I1239" s="8" t="s">
        <v>39</v>
      </c>
      <c r="J1239" s="9">
        <v>1</v>
      </c>
      <c r="K1239" s="9">
        <v>163</v>
      </c>
      <c r="L1239" s="9">
        <v>2024</v>
      </c>
      <c r="M1239" s="8" t="s">
        <v>7535</v>
      </c>
      <c r="N1239" s="8" t="s">
        <v>74</v>
      </c>
      <c r="O1239" s="8" t="s">
        <v>75</v>
      </c>
      <c r="P1239" s="6" t="s">
        <v>43</v>
      </c>
      <c r="Q1239" s="8" t="s">
        <v>44</v>
      </c>
      <c r="R1239" s="10" t="s">
        <v>7536</v>
      </c>
      <c r="S1239" s="11"/>
      <c r="T1239" s="6"/>
      <c r="U1239" s="28" t="str">
        <f>HYPERLINK("https://media.infra-m.ru/2080/2080757/cover/2080757.jpg", "Обложка")</f>
        <v>Обложка</v>
      </c>
      <c r="V1239" s="28" t="str">
        <f>HYPERLINK("https://znanium.ru/catalog/product/2080757", "Ознакомиться")</f>
        <v>Ознакомиться</v>
      </c>
      <c r="W1239" s="8" t="s">
        <v>159</v>
      </c>
      <c r="X1239" s="6"/>
      <c r="Y1239" s="6"/>
      <c r="Z1239" s="6"/>
      <c r="AA1239" s="6" t="s">
        <v>364</v>
      </c>
    </row>
    <row r="1240" spans="1:27" s="4" customFormat="1" ht="51.95" customHeight="1">
      <c r="A1240" s="5">
        <v>0</v>
      </c>
      <c r="B1240" s="6" t="s">
        <v>7537</v>
      </c>
      <c r="C1240" s="7">
        <v>1997</v>
      </c>
      <c r="D1240" s="8" t="s">
        <v>7538</v>
      </c>
      <c r="E1240" s="8" t="s">
        <v>7539</v>
      </c>
      <c r="F1240" s="8" t="s">
        <v>7540</v>
      </c>
      <c r="G1240" s="6" t="s">
        <v>123</v>
      </c>
      <c r="H1240" s="6" t="s">
        <v>52</v>
      </c>
      <c r="I1240" s="8" t="s">
        <v>155</v>
      </c>
      <c r="J1240" s="9">
        <v>1</v>
      </c>
      <c r="K1240" s="9">
        <v>336</v>
      </c>
      <c r="L1240" s="9">
        <v>2024</v>
      </c>
      <c r="M1240" s="8" t="s">
        <v>7541</v>
      </c>
      <c r="N1240" s="8" t="s">
        <v>74</v>
      </c>
      <c r="O1240" s="8" t="s">
        <v>75</v>
      </c>
      <c r="P1240" s="6" t="s">
        <v>55</v>
      </c>
      <c r="Q1240" s="8" t="s">
        <v>56</v>
      </c>
      <c r="R1240" s="10" t="s">
        <v>681</v>
      </c>
      <c r="S1240" s="11" t="s">
        <v>7501</v>
      </c>
      <c r="T1240" s="6"/>
      <c r="U1240" s="28" t="str">
        <f>HYPERLINK("https://media.infra-m.ru/2136/2136881/cover/2136881.jpg", "Обложка")</f>
        <v>Обложка</v>
      </c>
      <c r="V1240" s="12"/>
      <c r="W1240" s="8" t="s">
        <v>1005</v>
      </c>
      <c r="X1240" s="6"/>
      <c r="Y1240" s="6"/>
      <c r="Z1240" s="6"/>
      <c r="AA1240" s="6" t="s">
        <v>2111</v>
      </c>
    </row>
    <row r="1241" spans="1:27" s="4" customFormat="1" ht="42" customHeight="1">
      <c r="A1241" s="5">
        <v>0</v>
      </c>
      <c r="B1241" s="6" t="s">
        <v>7542</v>
      </c>
      <c r="C1241" s="7">
        <v>1524</v>
      </c>
      <c r="D1241" s="8" t="s">
        <v>7543</v>
      </c>
      <c r="E1241" s="8" t="s">
        <v>7544</v>
      </c>
      <c r="F1241" s="8" t="s">
        <v>6338</v>
      </c>
      <c r="G1241" s="6" t="s">
        <v>83</v>
      </c>
      <c r="H1241" s="6" t="s">
        <v>38</v>
      </c>
      <c r="I1241" s="8" t="s">
        <v>884</v>
      </c>
      <c r="J1241" s="9">
        <v>1</v>
      </c>
      <c r="K1241" s="9">
        <v>321</v>
      </c>
      <c r="L1241" s="9">
        <v>2023</v>
      </c>
      <c r="M1241" s="8" t="s">
        <v>7545</v>
      </c>
      <c r="N1241" s="8" t="s">
        <v>74</v>
      </c>
      <c r="O1241" s="8" t="s">
        <v>109</v>
      </c>
      <c r="P1241" s="6" t="s">
        <v>176</v>
      </c>
      <c r="Q1241" s="8" t="s">
        <v>594</v>
      </c>
      <c r="R1241" s="10" t="s">
        <v>7546</v>
      </c>
      <c r="S1241" s="11"/>
      <c r="T1241" s="6"/>
      <c r="U1241" s="28" t="str">
        <f>HYPERLINK("https://media.infra-m.ru/2126/2126207/cover/2126207.jpg", "Обложка")</f>
        <v>Обложка</v>
      </c>
      <c r="V1241" s="28" t="str">
        <f>HYPERLINK("https://znanium.ru/catalog/product/2122927", "Ознакомиться")</f>
        <v>Ознакомиться</v>
      </c>
      <c r="W1241" s="8" t="s">
        <v>1771</v>
      </c>
      <c r="X1241" s="6"/>
      <c r="Y1241" s="6"/>
      <c r="Z1241" s="6"/>
      <c r="AA1241" s="6" t="s">
        <v>111</v>
      </c>
    </row>
    <row r="1242" spans="1:27" s="4" customFormat="1" ht="42" customHeight="1">
      <c r="A1242" s="5">
        <v>0</v>
      </c>
      <c r="B1242" s="6" t="s">
        <v>7547</v>
      </c>
      <c r="C1242" s="7">
        <v>1620</v>
      </c>
      <c r="D1242" s="8" t="s">
        <v>7548</v>
      </c>
      <c r="E1242" s="8" t="s">
        <v>7549</v>
      </c>
      <c r="F1242" s="8" t="s">
        <v>1906</v>
      </c>
      <c r="G1242" s="6" t="s">
        <v>37</v>
      </c>
      <c r="H1242" s="6" t="s">
        <v>38</v>
      </c>
      <c r="I1242" s="8" t="s">
        <v>39</v>
      </c>
      <c r="J1242" s="9">
        <v>1</v>
      </c>
      <c r="K1242" s="9">
        <v>413</v>
      </c>
      <c r="L1242" s="9">
        <v>2022</v>
      </c>
      <c r="M1242" s="8" t="s">
        <v>7550</v>
      </c>
      <c r="N1242" s="8" t="s">
        <v>74</v>
      </c>
      <c r="O1242" s="8" t="s">
        <v>75</v>
      </c>
      <c r="P1242" s="6" t="s">
        <v>43</v>
      </c>
      <c r="Q1242" s="8" t="s">
        <v>44</v>
      </c>
      <c r="R1242" s="10" t="s">
        <v>7551</v>
      </c>
      <c r="S1242" s="11"/>
      <c r="T1242" s="6"/>
      <c r="U1242" s="28" t="str">
        <f>HYPERLINK("https://media.infra-m.ru/1544/1544136/cover/1544136.jpg", "Обложка")</f>
        <v>Обложка</v>
      </c>
      <c r="V1242" s="28" t="str">
        <f>HYPERLINK("https://znanium.ru/catalog/product/1544136", "Ознакомиться")</f>
        <v>Ознакомиться</v>
      </c>
      <c r="W1242" s="8" t="s">
        <v>1841</v>
      </c>
      <c r="X1242" s="6"/>
      <c r="Y1242" s="6"/>
      <c r="Z1242" s="6"/>
      <c r="AA1242" s="6" t="s">
        <v>103</v>
      </c>
    </row>
    <row r="1243" spans="1:27" s="4" customFormat="1" ht="51.95" customHeight="1">
      <c r="A1243" s="5">
        <v>0</v>
      </c>
      <c r="B1243" s="6" t="s">
        <v>7552</v>
      </c>
      <c r="C1243" s="7">
        <v>1080</v>
      </c>
      <c r="D1243" s="8" t="s">
        <v>7553</v>
      </c>
      <c r="E1243" s="8" t="s">
        <v>7554</v>
      </c>
      <c r="F1243" s="8" t="s">
        <v>830</v>
      </c>
      <c r="G1243" s="6" t="s">
        <v>37</v>
      </c>
      <c r="H1243" s="6" t="s">
        <v>38</v>
      </c>
      <c r="I1243" s="8" t="s">
        <v>39</v>
      </c>
      <c r="J1243" s="9">
        <v>1</v>
      </c>
      <c r="K1243" s="9">
        <v>240</v>
      </c>
      <c r="L1243" s="9">
        <v>2022</v>
      </c>
      <c r="M1243" s="8" t="s">
        <v>7555</v>
      </c>
      <c r="N1243" s="8" t="s">
        <v>74</v>
      </c>
      <c r="O1243" s="8" t="s">
        <v>109</v>
      </c>
      <c r="P1243" s="6" t="s">
        <v>43</v>
      </c>
      <c r="Q1243" s="8" t="s">
        <v>44</v>
      </c>
      <c r="R1243" s="10" t="s">
        <v>7556</v>
      </c>
      <c r="S1243" s="11"/>
      <c r="T1243" s="6"/>
      <c r="U1243" s="28" t="str">
        <f>HYPERLINK("https://media.infra-m.ru/1852/1852202/cover/1852202.jpg", "Обложка")</f>
        <v>Обложка</v>
      </c>
      <c r="V1243" s="28" t="str">
        <f>HYPERLINK("https://znanium.ru/catalog/product/1852202", "Ознакомиться")</f>
        <v>Ознакомиться</v>
      </c>
      <c r="W1243" s="8" t="s">
        <v>833</v>
      </c>
      <c r="X1243" s="6"/>
      <c r="Y1243" s="6"/>
      <c r="Z1243" s="6"/>
      <c r="AA1243" s="6" t="s">
        <v>290</v>
      </c>
    </row>
    <row r="1244" spans="1:27" s="4" customFormat="1" ht="51.95" customHeight="1">
      <c r="A1244" s="5">
        <v>0</v>
      </c>
      <c r="B1244" s="6" t="s">
        <v>7557</v>
      </c>
      <c r="C1244" s="7">
        <v>1290</v>
      </c>
      <c r="D1244" s="8" t="s">
        <v>7558</v>
      </c>
      <c r="E1244" s="8" t="s">
        <v>7559</v>
      </c>
      <c r="F1244" s="8" t="s">
        <v>406</v>
      </c>
      <c r="G1244" s="6" t="s">
        <v>37</v>
      </c>
      <c r="H1244" s="6" t="s">
        <v>38</v>
      </c>
      <c r="I1244" s="8" t="s">
        <v>39</v>
      </c>
      <c r="J1244" s="9">
        <v>1</v>
      </c>
      <c r="K1244" s="9">
        <v>264</v>
      </c>
      <c r="L1244" s="9">
        <v>2023</v>
      </c>
      <c r="M1244" s="8" t="s">
        <v>7560</v>
      </c>
      <c r="N1244" s="8" t="s">
        <v>74</v>
      </c>
      <c r="O1244" s="8" t="s">
        <v>75</v>
      </c>
      <c r="P1244" s="6" t="s">
        <v>1988</v>
      </c>
      <c r="Q1244" s="8" t="s">
        <v>44</v>
      </c>
      <c r="R1244" s="10" t="s">
        <v>387</v>
      </c>
      <c r="S1244" s="11"/>
      <c r="T1244" s="6"/>
      <c r="U1244" s="28" t="str">
        <f>HYPERLINK("https://media.infra-m.ru/2017/2017326/cover/2017326.jpg", "Обложка")</f>
        <v>Обложка</v>
      </c>
      <c r="V1244" s="28" t="str">
        <f>HYPERLINK("https://znanium.ru/catalog/product/2017326", "Ознакомиться")</f>
        <v>Ознакомиться</v>
      </c>
      <c r="W1244" s="8" t="s">
        <v>409</v>
      </c>
      <c r="X1244" s="6"/>
      <c r="Y1244" s="6"/>
      <c r="Z1244" s="6"/>
      <c r="AA1244" s="6" t="s">
        <v>650</v>
      </c>
    </row>
    <row r="1245" spans="1:27" s="4" customFormat="1" ht="51.95" customHeight="1">
      <c r="A1245" s="5">
        <v>0</v>
      </c>
      <c r="B1245" s="6" t="s">
        <v>7561</v>
      </c>
      <c r="C1245" s="13">
        <v>890</v>
      </c>
      <c r="D1245" s="8" t="s">
        <v>7562</v>
      </c>
      <c r="E1245" s="8" t="s">
        <v>7563</v>
      </c>
      <c r="F1245" s="8" t="s">
        <v>7564</v>
      </c>
      <c r="G1245" s="6" t="s">
        <v>37</v>
      </c>
      <c r="H1245" s="6" t="s">
        <v>38</v>
      </c>
      <c r="I1245" s="8" t="s">
        <v>155</v>
      </c>
      <c r="J1245" s="9">
        <v>1</v>
      </c>
      <c r="K1245" s="9">
        <v>192</v>
      </c>
      <c r="L1245" s="9">
        <v>2024</v>
      </c>
      <c r="M1245" s="8" t="s">
        <v>7565</v>
      </c>
      <c r="N1245" s="8" t="s">
        <v>74</v>
      </c>
      <c r="O1245" s="8" t="s">
        <v>394</v>
      </c>
      <c r="P1245" s="6" t="s">
        <v>55</v>
      </c>
      <c r="Q1245" s="8" t="s">
        <v>56</v>
      </c>
      <c r="R1245" s="10" t="s">
        <v>7566</v>
      </c>
      <c r="S1245" s="11" t="s">
        <v>7567</v>
      </c>
      <c r="T1245" s="6" t="s">
        <v>190</v>
      </c>
      <c r="U1245" s="28" t="str">
        <f>HYPERLINK("https://media.infra-m.ru/2088/2088249/cover/2088249.jpg", "Обложка")</f>
        <v>Обложка</v>
      </c>
      <c r="V1245" s="28" t="str">
        <f>HYPERLINK("https://znanium.ru/catalog/product/2088249", "Ознакомиться")</f>
        <v>Ознакомиться</v>
      </c>
      <c r="W1245" s="8" t="s">
        <v>159</v>
      </c>
      <c r="X1245" s="6"/>
      <c r="Y1245" s="6"/>
      <c r="Z1245" s="6"/>
      <c r="AA1245" s="6" t="s">
        <v>381</v>
      </c>
    </row>
    <row r="1246" spans="1:27" s="4" customFormat="1" ht="51.95" customHeight="1">
      <c r="A1246" s="5">
        <v>0</v>
      </c>
      <c r="B1246" s="6" t="s">
        <v>7568</v>
      </c>
      <c r="C1246" s="13">
        <v>880</v>
      </c>
      <c r="D1246" s="8" t="s">
        <v>7569</v>
      </c>
      <c r="E1246" s="8" t="s">
        <v>7570</v>
      </c>
      <c r="F1246" s="8" t="s">
        <v>7571</v>
      </c>
      <c r="G1246" s="6" t="s">
        <v>83</v>
      </c>
      <c r="H1246" s="6" t="s">
        <v>38</v>
      </c>
      <c r="I1246" s="8" t="s">
        <v>155</v>
      </c>
      <c r="J1246" s="9">
        <v>1</v>
      </c>
      <c r="K1246" s="9">
        <v>191</v>
      </c>
      <c r="L1246" s="9">
        <v>2024</v>
      </c>
      <c r="M1246" s="8" t="s">
        <v>7572</v>
      </c>
      <c r="N1246" s="8" t="s">
        <v>74</v>
      </c>
      <c r="O1246" s="8" t="s">
        <v>109</v>
      </c>
      <c r="P1246" s="6" t="s">
        <v>55</v>
      </c>
      <c r="Q1246" s="8" t="s">
        <v>56</v>
      </c>
      <c r="R1246" s="10" t="s">
        <v>7573</v>
      </c>
      <c r="S1246" s="11" t="s">
        <v>7574</v>
      </c>
      <c r="T1246" s="6" t="s">
        <v>190</v>
      </c>
      <c r="U1246" s="28" t="str">
        <f>HYPERLINK("https://media.infra-m.ru/2096/2096932/cover/2096932.jpg", "Обложка")</f>
        <v>Обложка</v>
      </c>
      <c r="V1246" s="28" t="str">
        <f>HYPERLINK("https://znanium.ru/catalog/product/2096932", "Ознакомиться")</f>
        <v>Ознакомиться</v>
      </c>
      <c r="W1246" s="8" t="s">
        <v>1579</v>
      </c>
      <c r="X1246" s="6"/>
      <c r="Y1246" s="6"/>
      <c r="Z1246" s="6"/>
      <c r="AA1246" s="6" t="s">
        <v>650</v>
      </c>
    </row>
    <row r="1247" spans="1:27" s="4" customFormat="1" ht="42" customHeight="1">
      <c r="A1247" s="5">
        <v>0</v>
      </c>
      <c r="B1247" s="6" t="s">
        <v>7575</v>
      </c>
      <c r="C1247" s="7">
        <v>2044</v>
      </c>
      <c r="D1247" s="8" t="s">
        <v>7576</v>
      </c>
      <c r="E1247" s="8" t="s">
        <v>7577</v>
      </c>
      <c r="F1247" s="8" t="s">
        <v>7578</v>
      </c>
      <c r="G1247" s="6" t="s">
        <v>123</v>
      </c>
      <c r="H1247" s="6" t="s">
        <v>52</v>
      </c>
      <c r="I1247" s="8"/>
      <c r="J1247" s="9">
        <v>1</v>
      </c>
      <c r="K1247" s="9">
        <v>576</v>
      </c>
      <c r="L1247" s="9">
        <v>2024</v>
      </c>
      <c r="M1247" s="8" t="s">
        <v>7579</v>
      </c>
      <c r="N1247" s="8" t="s">
        <v>74</v>
      </c>
      <c r="O1247" s="8" t="s">
        <v>1559</v>
      </c>
      <c r="P1247" s="6" t="s">
        <v>976</v>
      </c>
      <c r="Q1247" s="8" t="s">
        <v>44</v>
      </c>
      <c r="R1247" s="10" t="s">
        <v>3006</v>
      </c>
      <c r="S1247" s="11"/>
      <c r="T1247" s="6"/>
      <c r="U1247" s="28" t="str">
        <f>HYPERLINK("https://media.infra-m.ru/2105/2105369/cover/2105369.jpg", "Обложка")</f>
        <v>Обложка</v>
      </c>
      <c r="V1247" s="12"/>
      <c r="W1247" s="8" t="s">
        <v>4470</v>
      </c>
      <c r="X1247" s="6"/>
      <c r="Y1247" s="6"/>
      <c r="Z1247" s="6"/>
      <c r="AA1247" s="6" t="s">
        <v>96</v>
      </c>
    </row>
    <row r="1248" spans="1:27" s="4" customFormat="1" ht="51.95" customHeight="1">
      <c r="A1248" s="5">
        <v>0</v>
      </c>
      <c r="B1248" s="6" t="s">
        <v>7580</v>
      </c>
      <c r="C1248" s="7">
        <v>1104</v>
      </c>
      <c r="D1248" s="8" t="s">
        <v>7581</v>
      </c>
      <c r="E1248" s="8" t="s">
        <v>7582</v>
      </c>
      <c r="F1248" s="8" t="s">
        <v>7583</v>
      </c>
      <c r="G1248" s="6" t="s">
        <v>123</v>
      </c>
      <c r="H1248" s="6" t="s">
        <v>38</v>
      </c>
      <c r="I1248" s="8" t="s">
        <v>884</v>
      </c>
      <c r="J1248" s="9">
        <v>1</v>
      </c>
      <c r="K1248" s="9">
        <v>240</v>
      </c>
      <c r="L1248" s="9">
        <v>2024</v>
      </c>
      <c r="M1248" s="8" t="s">
        <v>7584</v>
      </c>
      <c r="N1248" s="8" t="s">
        <v>74</v>
      </c>
      <c r="O1248" s="8" t="s">
        <v>1559</v>
      </c>
      <c r="P1248" s="6" t="s">
        <v>55</v>
      </c>
      <c r="Q1248" s="8" t="s">
        <v>56</v>
      </c>
      <c r="R1248" s="10" t="s">
        <v>7585</v>
      </c>
      <c r="S1248" s="11" t="s">
        <v>7586</v>
      </c>
      <c r="T1248" s="6"/>
      <c r="U1248" s="28" t="str">
        <f>HYPERLINK("https://media.infra-m.ru/2102/2102707/cover/2102707.jpg", "Обложка")</f>
        <v>Обложка</v>
      </c>
      <c r="V1248" s="28" t="str">
        <f>HYPERLINK("https://znanium.ru/catalog/product/1290962", "Ознакомиться")</f>
        <v>Ознакомиться</v>
      </c>
      <c r="W1248" s="8" t="s">
        <v>1028</v>
      </c>
      <c r="X1248" s="6"/>
      <c r="Y1248" s="6"/>
      <c r="Z1248" s="6"/>
      <c r="AA1248" s="6" t="s">
        <v>59</v>
      </c>
    </row>
    <row r="1249" spans="1:27" s="4" customFormat="1" ht="51.95" customHeight="1">
      <c r="A1249" s="5">
        <v>0</v>
      </c>
      <c r="B1249" s="6" t="s">
        <v>7587</v>
      </c>
      <c r="C1249" s="13">
        <v>680</v>
      </c>
      <c r="D1249" s="8" t="s">
        <v>7588</v>
      </c>
      <c r="E1249" s="8" t="s">
        <v>7589</v>
      </c>
      <c r="F1249" s="8" t="s">
        <v>7590</v>
      </c>
      <c r="G1249" s="6" t="s">
        <v>37</v>
      </c>
      <c r="H1249" s="6" t="s">
        <v>38</v>
      </c>
      <c r="I1249" s="8" t="s">
        <v>39</v>
      </c>
      <c r="J1249" s="9">
        <v>1</v>
      </c>
      <c r="K1249" s="9">
        <v>152</v>
      </c>
      <c r="L1249" s="9">
        <v>2023</v>
      </c>
      <c r="M1249" s="8" t="s">
        <v>7591</v>
      </c>
      <c r="N1249" s="8" t="s">
        <v>41</v>
      </c>
      <c r="O1249" s="8" t="s">
        <v>54</v>
      </c>
      <c r="P1249" s="6" t="s">
        <v>43</v>
      </c>
      <c r="Q1249" s="8" t="s">
        <v>44</v>
      </c>
      <c r="R1249" s="10" t="s">
        <v>7592</v>
      </c>
      <c r="S1249" s="11"/>
      <c r="T1249" s="6"/>
      <c r="U1249" s="28" t="str">
        <f>HYPERLINK("https://media.infra-m.ru/1893/1893848/cover/1893848.jpg", "Обложка")</f>
        <v>Обложка</v>
      </c>
      <c r="V1249" s="28" t="str">
        <f>HYPERLINK("https://znanium.ru/catalog/product/1893848", "Ознакомиться")</f>
        <v>Ознакомиться</v>
      </c>
      <c r="W1249" s="8" t="s">
        <v>7593</v>
      </c>
      <c r="X1249" s="6"/>
      <c r="Y1249" s="6"/>
      <c r="Z1249" s="6"/>
      <c r="AA1249" s="6" t="s">
        <v>290</v>
      </c>
    </row>
    <row r="1250" spans="1:27" s="4" customFormat="1" ht="51.95" customHeight="1">
      <c r="A1250" s="5">
        <v>0</v>
      </c>
      <c r="B1250" s="6" t="s">
        <v>7594</v>
      </c>
      <c r="C1250" s="7">
        <v>1410</v>
      </c>
      <c r="D1250" s="8" t="s">
        <v>7595</v>
      </c>
      <c r="E1250" s="8" t="s">
        <v>7596</v>
      </c>
      <c r="F1250" s="8" t="s">
        <v>7597</v>
      </c>
      <c r="G1250" s="6" t="s">
        <v>83</v>
      </c>
      <c r="H1250" s="6" t="s">
        <v>38</v>
      </c>
      <c r="I1250" s="8" t="s">
        <v>155</v>
      </c>
      <c r="J1250" s="9">
        <v>1</v>
      </c>
      <c r="K1250" s="9">
        <v>300</v>
      </c>
      <c r="L1250" s="9">
        <v>2024</v>
      </c>
      <c r="M1250" s="8" t="s">
        <v>7598</v>
      </c>
      <c r="N1250" s="8" t="s">
        <v>74</v>
      </c>
      <c r="O1250" s="8" t="s">
        <v>75</v>
      </c>
      <c r="P1250" s="6" t="s">
        <v>55</v>
      </c>
      <c r="Q1250" s="8" t="s">
        <v>56</v>
      </c>
      <c r="R1250" s="10" t="s">
        <v>7599</v>
      </c>
      <c r="S1250" s="11" t="s">
        <v>1055</v>
      </c>
      <c r="T1250" s="6"/>
      <c r="U1250" s="28" t="str">
        <f>HYPERLINK("https://media.infra-m.ru/2107/2107430/cover/2107430.jpg", "Обложка")</f>
        <v>Обложка</v>
      </c>
      <c r="V1250" s="28" t="str">
        <f>HYPERLINK("https://znanium.ru/catalog/product/2107430", "Ознакомиться")</f>
        <v>Ознакомиться</v>
      </c>
      <c r="W1250" s="8" t="s">
        <v>132</v>
      </c>
      <c r="X1250" s="6"/>
      <c r="Y1250" s="6"/>
      <c r="Z1250" s="6"/>
      <c r="AA1250" s="6" t="s">
        <v>103</v>
      </c>
    </row>
    <row r="1251" spans="1:27" s="4" customFormat="1" ht="44.1" customHeight="1">
      <c r="A1251" s="5">
        <v>0</v>
      </c>
      <c r="B1251" s="6" t="s">
        <v>7600</v>
      </c>
      <c r="C1251" s="13">
        <v>540</v>
      </c>
      <c r="D1251" s="8" t="s">
        <v>7601</v>
      </c>
      <c r="E1251" s="8" t="s">
        <v>7602</v>
      </c>
      <c r="F1251" s="8" t="s">
        <v>7603</v>
      </c>
      <c r="G1251" s="6" t="s">
        <v>37</v>
      </c>
      <c r="H1251" s="6" t="s">
        <v>38</v>
      </c>
      <c r="I1251" s="8" t="s">
        <v>39</v>
      </c>
      <c r="J1251" s="9">
        <v>1</v>
      </c>
      <c r="K1251" s="9">
        <v>116</v>
      </c>
      <c r="L1251" s="9">
        <v>2024</v>
      </c>
      <c r="M1251" s="8" t="s">
        <v>7604</v>
      </c>
      <c r="N1251" s="8" t="s">
        <v>74</v>
      </c>
      <c r="O1251" s="8" t="s">
        <v>75</v>
      </c>
      <c r="P1251" s="6" t="s">
        <v>43</v>
      </c>
      <c r="Q1251" s="8" t="s">
        <v>44</v>
      </c>
      <c r="R1251" s="10" t="s">
        <v>4235</v>
      </c>
      <c r="S1251" s="11"/>
      <c r="T1251" s="6"/>
      <c r="U1251" s="28" t="str">
        <f>HYPERLINK("https://media.infra-m.ru/2106/2106744/cover/2106744.jpg", "Обложка")</f>
        <v>Обложка</v>
      </c>
      <c r="V1251" s="28" t="str">
        <f>HYPERLINK("https://znanium.ru/catalog/product/2106744", "Ознакомиться")</f>
        <v>Ознакомиться</v>
      </c>
      <c r="W1251" s="8" t="s">
        <v>159</v>
      </c>
      <c r="X1251" s="6"/>
      <c r="Y1251" s="6"/>
      <c r="Z1251" s="6"/>
      <c r="AA1251" s="6" t="s">
        <v>290</v>
      </c>
    </row>
    <row r="1252" spans="1:27" s="4" customFormat="1" ht="42" customHeight="1">
      <c r="A1252" s="5">
        <v>0</v>
      </c>
      <c r="B1252" s="6" t="s">
        <v>7605</v>
      </c>
      <c r="C1252" s="13">
        <v>820</v>
      </c>
      <c r="D1252" s="8" t="s">
        <v>7606</v>
      </c>
      <c r="E1252" s="8" t="s">
        <v>7607</v>
      </c>
      <c r="F1252" s="8" t="s">
        <v>7608</v>
      </c>
      <c r="G1252" s="6" t="s">
        <v>123</v>
      </c>
      <c r="H1252" s="6" t="s">
        <v>38</v>
      </c>
      <c r="I1252" s="8" t="s">
        <v>39</v>
      </c>
      <c r="J1252" s="9">
        <v>1</v>
      </c>
      <c r="K1252" s="9">
        <v>171</v>
      </c>
      <c r="L1252" s="9">
        <v>2024</v>
      </c>
      <c r="M1252" s="8" t="s">
        <v>7609</v>
      </c>
      <c r="N1252" s="8" t="s">
        <v>41</v>
      </c>
      <c r="O1252" s="8" t="s">
        <v>65</v>
      </c>
      <c r="P1252" s="6" t="s">
        <v>43</v>
      </c>
      <c r="Q1252" s="8" t="s">
        <v>44</v>
      </c>
      <c r="R1252" s="10" t="s">
        <v>3629</v>
      </c>
      <c r="S1252" s="11"/>
      <c r="T1252" s="6"/>
      <c r="U1252" s="28" t="str">
        <f>HYPERLINK("https://media.infra-m.ru/2030/2030730/cover/2030730.jpg", "Обложка")</f>
        <v>Обложка</v>
      </c>
      <c r="V1252" s="28" t="str">
        <f>HYPERLINK("https://znanium.ru/catalog/product/2030730", "Ознакомиться")</f>
        <v>Ознакомиться</v>
      </c>
      <c r="W1252" s="8" t="s">
        <v>1028</v>
      </c>
      <c r="X1252" s="6" t="s">
        <v>641</v>
      </c>
      <c r="Y1252" s="6"/>
      <c r="Z1252" s="6"/>
      <c r="AA1252" s="6" t="s">
        <v>180</v>
      </c>
    </row>
    <row r="1253" spans="1:27" s="4" customFormat="1" ht="51.95" customHeight="1">
      <c r="A1253" s="5">
        <v>0</v>
      </c>
      <c r="B1253" s="6" t="s">
        <v>7610</v>
      </c>
      <c r="C1253" s="7">
        <v>1330</v>
      </c>
      <c r="D1253" s="8" t="s">
        <v>7611</v>
      </c>
      <c r="E1253" s="8" t="s">
        <v>7612</v>
      </c>
      <c r="F1253" s="8" t="s">
        <v>2229</v>
      </c>
      <c r="G1253" s="6" t="s">
        <v>83</v>
      </c>
      <c r="H1253" s="6" t="s">
        <v>38</v>
      </c>
      <c r="I1253" s="8" t="s">
        <v>155</v>
      </c>
      <c r="J1253" s="9">
        <v>1</v>
      </c>
      <c r="K1253" s="9">
        <v>286</v>
      </c>
      <c r="L1253" s="9">
        <v>2024</v>
      </c>
      <c r="M1253" s="8" t="s">
        <v>7613</v>
      </c>
      <c r="N1253" s="8" t="s">
        <v>41</v>
      </c>
      <c r="O1253" s="8" t="s">
        <v>65</v>
      </c>
      <c r="P1253" s="6" t="s">
        <v>176</v>
      </c>
      <c r="Q1253" s="8" t="s">
        <v>56</v>
      </c>
      <c r="R1253" s="10" t="s">
        <v>7614</v>
      </c>
      <c r="S1253" s="11" t="s">
        <v>7615</v>
      </c>
      <c r="T1253" s="6" t="s">
        <v>190</v>
      </c>
      <c r="U1253" s="28" t="str">
        <f>HYPERLINK("https://media.infra-m.ru/2087/2087303/cover/2087303.jpg", "Обложка")</f>
        <v>Обложка</v>
      </c>
      <c r="V1253" s="28" t="str">
        <f>HYPERLINK("https://znanium.ru/catalog/product/2087303", "Ознакомиться")</f>
        <v>Ознакомиться</v>
      </c>
      <c r="W1253" s="8" t="s">
        <v>2060</v>
      </c>
      <c r="X1253" s="6"/>
      <c r="Y1253" s="6"/>
      <c r="Z1253" s="6"/>
      <c r="AA1253" s="6" t="s">
        <v>68</v>
      </c>
    </row>
    <row r="1254" spans="1:27" s="4" customFormat="1" ht="42" customHeight="1">
      <c r="A1254" s="5">
        <v>0</v>
      </c>
      <c r="B1254" s="6" t="s">
        <v>7616</v>
      </c>
      <c r="C1254" s="13">
        <v>770</v>
      </c>
      <c r="D1254" s="8" t="s">
        <v>7617</v>
      </c>
      <c r="E1254" s="8" t="s">
        <v>7618</v>
      </c>
      <c r="F1254" s="8" t="s">
        <v>7619</v>
      </c>
      <c r="G1254" s="6" t="s">
        <v>37</v>
      </c>
      <c r="H1254" s="6" t="s">
        <v>38</v>
      </c>
      <c r="I1254" s="8" t="s">
        <v>137</v>
      </c>
      <c r="J1254" s="9">
        <v>1</v>
      </c>
      <c r="K1254" s="9">
        <v>178</v>
      </c>
      <c r="L1254" s="9">
        <v>2022</v>
      </c>
      <c r="M1254" s="8" t="s">
        <v>7620</v>
      </c>
      <c r="N1254" s="8" t="s">
        <v>74</v>
      </c>
      <c r="O1254" s="8" t="s">
        <v>93</v>
      </c>
      <c r="P1254" s="6" t="s">
        <v>43</v>
      </c>
      <c r="Q1254" s="8" t="s">
        <v>44</v>
      </c>
      <c r="R1254" s="10" t="s">
        <v>7621</v>
      </c>
      <c r="S1254" s="11"/>
      <c r="T1254" s="6"/>
      <c r="U1254" s="28" t="str">
        <f>HYPERLINK("https://media.infra-m.ru/1844/1844170/cover/1844170.jpg", "Обложка")</f>
        <v>Обложка</v>
      </c>
      <c r="V1254" s="28" t="str">
        <f>HYPERLINK("https://znanium.ru/catalog/product/1844170", "Ознакомиться")</f>
        <v>Ознакомиться</v>
      </c>
      <c r="W1254" s="8" t="s">
        <v>7622</v>
      </c>
      <c r="X1254" s="6"/>
      <c r="Y1254" s="6"/>
      <c r="Z1254" s="6"/>
      <c r="AA1254" s="6" t="s">
        <v>103</v>
      </c>
    </row>
    <row r="1255" spans="1:27" s="4" customFormat="1" ht="51.95" customHeight="1">
      <c r="A1255" s="5">
        <v>0</v>
      </c>
      <c r="B1255" s="6" t="s">
        <v>7623</v>
      </c>
      <c r="C1255" s="13">
        <v>400</v>
      </c>
      <c r="D1255" s="8" t="s">
        <v>7624</v>
      </c>
      <c r="E1255" s="8" t="s">
        <v>7625</v>
      </c>
      <c r="F1255" s="8" t="s">
        <v>7626</v>
      </c>
      <c r="G1255" s="6" t="s">
        <v>37</v>
      </c>
      <c r="H1255" s="6" t="s">
        <v>317</v>
      </c>
      <c r="I1255" s="8" t="s">
        <v>39</v>
      </c>
      <c r="J1255" s="9">
        <v>1</v>
      </c>
      <c r="K1255" s="9">
        <v>116</v>
      </c>
      <c r="L1255" s="9">
        <v>2019</v>
      </c>
      <c r="M1255" s="8" t="s">
        <v>7627</v>
      </c>
      <c r="N1255" s="8" t="s">
        <v>41</v>
      </c>
      <c r="O1255" s="8" t="s">
        <v>42</v>
      </c>
      <c r="P1255" s="6" t="s">
        <v>43</v>
      </c>
      <c r="Q1255" s="8" t="s">
        <v>44</v>
      </c>
      <c r="R1255" s="10" t="s">
        <v>7628</v>
      </c>
      <c r="S1255" s="11"/>
      <c r="T1255" s="6"/>
      <c r="U1255" s="28" t="str">
        <f>HYPERLINK("https://media.infra-m.ru/1015/1015328/cover/1015328.jpg", "Обложка")</f>
        <v>Обложка</v>
      </c>
      <c r="V1255" s="28" t="str">
        <f>HYPERLINK("https://znanium.ru/catalog/product/1015328", "Ознакомиться")</f>
        <v>Ознакомиться</v>
      </c>
      <c r="W1255" s="8" t="s">
        <v>95</v>
      </c>
      <c r="X1255" s="6"/>
      <c r="Y1255" s="6"/>
      <c r="Z1255" s="6"/>
      <c r="AA1255" s="6" t="s">
        <v>47</v>
      </c>
    </row>
    <row r="1256" spans="1:27" s="4" customFormat="1" ht="44.1" customHeight="1">
      <c r="A1256" s="5">
        <v>0</v>
      </c>
      <c r="B1256" s="6" t="s">
        <v>7629</v>
      </c>
      <c r="C1256" s="13">
        <v>804.9</v>
      </c>
      <c r="D1256" s="8" t="s">
        <v>7630</v>
      </c>
      <c r="E1256" s="8" t="s">
        <v>7631</v>
      </c>
      <c r="F1256" s="8" t="s">
        <v>1721</v>
      </c>
      <c r="G1256" s="6" t="s">
        <v>37</v>
      </c>
      <c r="H1256" s="6" t="s">
        <v>38</v>
      </c>
      <c r="I1256" s="8" t="s">
        <v>39</v>
      </c>
      <c r="J1256" s="9">
        <v>1</v>
      </c>
      <c r="K1256" s="9">
        <v>238</v>
      </c>
      <c r="L1256" s="9">
        <v>2019</v>
      </c>
      <c r="M1256" s="8" t="s">
        <v>7632</v>
      </c>
      <c r="N1256" s="8" t="s">
        <v>41</v>
      </c>
      <c r="O1256" s="8" t="s">
        <v>65</v>
      </c>
      <c r="P1256" s="6" t="s">
        <v>43</v>
      </c>
      <c r="Q1256" s="8" t="s">
        <v>44</v>
      </c>
      <c r="R1256" s="10" t="s">
        <v>428</v>
      </c>
      <c r="S1256" s="11"/>
      <c r="T1256" s="6"/>
      <c r="U1256" s="28" t="str">
        <f>HYPERLINK("https://media.infra-m.ru/1009/1009970/cover/1009970.jpg", "Обложка")</f>
        <v>Обложка</v>
      </c>
      <c r="V1256" s="28" t="str">
        <f>HYPERLINK("https://znanium.ru/catalog/product/1009970", "Ознакомиться")</f>
        <v>Ознакомиться</v>
      </c>
      <c r="W1256" s="8" t="s">
        <v>1028</v>
      </c>
      <c r="X1256" s="6"/>
      <c r="Y1256" s="6"/>
      <c r="Z1256" s="6"/>
      <c r="AA1256" s="6" t="s">
        <v>364</v>
      </c>
    </row>
    <row r="1257" spans="1:27" s="4" customFormat="1" ht="51.95" customHeight="1">
      <c r="A1257" s="5">
        <v>0</v>
      </c>
      <c r="B1257" s="6" t="s">
        <v>7633</v>
      </c>
      <c r="C1257" s="13">
        <v>750</v>
      </c>
      <c r="D1257" s="8" t="s">
        <v>7634</v>
      </c>
      <c r="E1257" s="8" t="s">
        <v>7635</v>
      </c>
      <c r="F1257" s="8" t="s">
        <v>7636</v>
      </c>
      <c r="G1257" s="6" t="s">
        <v>83</v>
      </c>
      <c r="H1257" s="6" t="s">
        <v>38</v>
      </c>
      <c r="I1257" s="8" t="s">
        <v>884</v>
      </c>
      <c r="J1257" s="9">
        <v>1</v>
      </c>
      <c r="K1257" s="9">
        <v>156</v>
      </c>
      <c r="L1257" s="9">
        <v>2023</v>
      </c>
      <c r="M1257" s="8" t="s">
        <v>7637</v>
      </c>
      <c r="N1257" s="8" t="s">
        <v>74</v>
      </c>
      <c r="O1257" s="8" t="s">
        <v>75</v>
      </c>
      <c r="P1257" s="6" t="s">
        <v>55</v>
      </c>
      <c r="Q1257" s="8" t="s">
        <v>594</v>
      </c>
      <c r="R1257" s="10" t="s">
        <v>7638</v>
      </c>
      <c r="S1257" s="11" t="s">
        <v>7639</v>
      </c>
      <c r="T1257" s="6"/>
      <c r="U1257" s="28" t="str">
        <f>HYPERLINK("https://media.infra-m.ru/1914/1914160/cover/1914160.jpg", "Обложка")</f>
        <v>Обложка</v>
      </c>
      <c r="V1257" s="28" t="str">
        <f>HYPERLINK("https://znanium.ru/catalog/product/1914160", "Ознакомиться")</f>
        <v>Ознакомиться</v>
      </c>
      <c r="W1257" s="8" t="s">
        <v>1679</v>
      </c>
      <c r="X1257" s="6"/>
      <c r="Y1257" s="6"/>
      <c r="Z1257" s="6"/>
      <c r="AA1257" s="6" t="s">
        <v>68</v>
      </c>
    </row>
    <row r="1258" spans="1:27" s="4" customFormat="1" ht="51.95" customHeight="1">
      <c r="A1258" s="5">
        <v>0</v>
      </c>
      <c r="B1258" s="6" t="s">
        <v>7640</v>
      </c>
      <c r="C1258" s="7">
        <v>1280</v>
      </c>
      <c r="D1258" s="8" t="s">
        <v>7641</v>
      </c>
      <c r="E1258" s="8" t="s">
        <v>7642</v>
      </c>
      <c r="F1258" s="8" t="s">
        <v>7643</v>
      </c>
      <c r="G1258" s="6" t="s">
        <v>37</v>
      </c>
      <c r="H1258" s="6" t="s">
        <v>38</v>
      </c>
      <c r="I1258" s="8" t="s">
        <v>39</v>
      </c>
      <c r="J1258" s="9">
        <v>1</v>
      </c>
      <c r="K1258" s="9">
        <v>336</v>
      </c>
      <c r="L1258" s="9">
        <v>2022</v>
      </c>
      <c r="M1258" s="8" t="s">
        <v>7644</v>
      </c>
      <c r="N1258" s="8" t="s">
        <v>74</v>
      </c>
      <c r="O1258" s="8" t="s">
        <v>93</v>
      </c>
      <c r="P1258" s="6" t="s">
        <v>43</v>
      </c>
      <c r="Q1258" s="8" t="s">
        <v>44</v>
      </c>
      <c r="R1258" s="10" t="s">
        <v>7645</v>
      </c>
      <c r="S1258" s="11"/>
      <c r="T1258" s="6"/>
      <c r="U1258" s="28" t="str">
        <f>HYPERLINK("https://media.infra-m.ru/1864/1864135/cover/1864135.jpg", "Обложка")</f>
        <v>Обложка</v>
      </c>
      <c r="V1258" s="28" t="str">
        <f>HYPERLINK("https://znanium.ru/catalog/product/1864135", "Ознакомиться")</f>
        <v>Ознакомиться</v>
      </c>
      <c r="W1258" s="8" t="s">
        <v>557</v>
      </c>
      <c r="X1258" s="6"/>
      <c r="Y1258" s="6"/>
      <c r="Z1258" s="6"/>
      <c r="AA1258" s="6" t="s">
        <v>193</v>
      </c>
    </row>
    <row r="1259" spans="1:27" s="4" customFormat="1" ht="51.95" customHeight="1">
      <c r="A1259" s="5">
        <v>0</v>
      </c>
      <c r="B1259" s="6" t="s">
        <v>7646</v>
      </c>
      <c r="C1259" s="7">
        <v>1030</v>
      </c>
      <c r="D1259" s="8" t="s">
        <v>7647</v>
      </c>
      <c r="E1259" s="8" t="s">
        <v>7648</v>
      </c>
      <c r="F1259" s="8" t="s">
        <v>7649</v>
      </c>
      <c r="G1259" s="6" t="s">
        <v>37</v>
      </c>
      <c r="H1259" s="6" t="s">
        <v>38</v>
      </c>
      <c r="I1259" s="8" t="s">
        <v>39</v>
      </c>
      <c r="J1259" s="9">
        <v>1</v>
      </c>
      <c r="K1259" s="9">
        <v>229</v>
      </c>
      <c r="L1259" s="9">
        <v>2023</v>
      </c>
      <c r="M1259" s="8" t="s">
        <v>7650</v>
      </c>
      <c r="N1259" s="8" t="s">
        <v>41</v>
      </c>
      <c r="O1259" s="8" t="s">
        <v>65</v>
      </c>
      <c r="P1259" s="6" t="s">
        <v>43</v>
      </c>
      <c r="Q1259" s="8" t="s">
        <v>44</v>
      </c>
      <c r="R1259" s="10" t="s">
        <v>7651</v>
      </c>
      <c r="S1259" s="11"/>
      <c r="T1259" s="6"/>
      <c r="U1259" s="28" t="str">
        <f>HYPERLINK("https://media.infra-m.ru/1905/1905561/cover/1905561.jpg", "Обложка")</f>
        <v>Обложка</v>
      </c>
      <c r="V1259" s="28" t="str">
        <f>HYPERLINK("https://znanium.ru/catalog/product/1905561", "Ознакомиться")</f>
        <v>Ознакомиться</v>
      </c>
      <c r="W1259" s="8" t="s">
        <v>1841</v>
      </c>
      <c r="X1259" s="6"/>
      <c r="Y1259" s="6"/>
      <c r="Z1259" s="6"/>
      <c r="AA1259" s="6" t="s">
        <v>78</v>
      </c>
    </row>
    <row r="1260" spans="1:27" s="4" customFormat="1" ht="51.95" customHeight="1">
      <c r="A1260" s="5">
        <v>0</v>
      </c>
      <c r="B1260" s="6" t="s">
        <v>7652</v>
      </c>
      <c r="C1260" s="13">
        <v>990</v>
      </c>
      <c r="D1260" s="8" t="s">
        <v>7653</v>
      </c>
      <c r="E1260" s="8" t="s">
        <v>7654</v>
      </c>
      <c r="F1260" s="8" t="s">
        <v>5230</v>
      </c>
      <c r="G1260" s="6" t="s">
        <v>83</v>
      </c>
      <c r="H1260" s="6" t="s">
        <v>38</v>
      </c>
      <c r="I1260" s="8" t="s">
        <v>39</v>
      </c>
      <c r="J1260" s="9">
        <v>1</v>
      </c>
      <c r="K1260" s="9">
        <v>208</v>
      </c>
      <c r="L1260" s="9">
        <v>2024</v>
      </c>
      <c r="M1260" s="8" t="s">
        <v>7655</v>
      </c>
      <c r="N1260" s="8" t="s">
        <v>74</v>
      </c>
      <c r="O1260" s="8" t="s">
        <v>109</v>
      </c>
      <c r="P1260" s="6" t="s">
        <v>43</v>
      </c>
      <c r="Q1260" s="8" t="s">
        <v>44</v>
      </c>
      <c r="R1260" s="10" t="s">
        <v>7656</v>
      </c>
      <c r="S1260" s="11"/>
      <c r="T1260" s="6"/>
      <c r="U1260" s="28" t="str">
        <f>HYPERLINK("https://media.infra-m.ru/2059/2059569/cover/2059569.jpg", "Обложка")</f>
        <v>Обложка</v>
      </c>
      <c r="V1260" s="28" t="str">
        <f>HYPERLINK("https://znanium.ru/catalog/product/2059569", "Ознакомиться")</f>
        <v>Ознакомиться</v>
      </c>
      <c r="W1260" s="8" t="s">
        <v>5233</v>
      </c>
      <c r="X1260" s="6"/>
      <c r="Y1260" s="6"/>
      <c r="Z1260" s="6"/>
      <c r="AA1260" s="6" t="s">
        <v>68</v>
      </c>
    </row>
    <row r="1261" spans="1:27" s="4" customFormat="1" ht="51.95" customHeight="1">
      <c r="A1261" s="5">
        <v>0</v>
      </c>
      <c r="B1261" s="6" t="s">
        <v>7657</v>
      </c>
      <c r="C1261" s="7">
        <v>1320</v>
      </c>
      <c r="D1261" s="8" t="s">
        <v>7658</v>
      </c>
      <c r="E1261" s="8" t="s">
        <v>7659</v>
      </c>
      <c r="F1261" s="8" t="s">
        <v>7660</v>
      </c>
      <c r="G1261" s="6" t="s">
        <v>123</v>
      </c>
      <c r="H1261" s="6" t="s">
        <v>38</v>
      </c>
      <c r="I1261" s="8" t="s">
        <v>39</v>
      </c>
      <c r="J1261" s="9">
        <v>1</v>
      </c>
      <c r="K1261" s="9">
        <v>351</v>
      </c>
      <c r="L1261" s="9">
        <v>2022</v>
      </c>
      <c r="M1261" s="8" t="s">
        <v>7661</v>
      </c>
      <c r="N1261" s="8" t="s">
        <v>74</v>
      </c>
      <c r="O1261" s="8" t="s">
        <v>93</v>
      </c>
      <c r="P1261" s="6" t="s">
        <v>43</v>
      </c>
      <c r="Q1261" s="8" t="s">
        <v>44</v>
      </c>
      <c r="R1261" s="10" t="s">
        <v>7662</v>
      </c>
      <c r="S1261" s="11"/>
      <c r="T1261" s="6"/>
      <c r="U1261" s="28" t="str">
        <f>HYPERLINK("https://media.infra-m.ru/1740/1740254/cover/1740254.jpg", "Обложка")</f>
        <v>Обложка</v>
      </c>
      <c r="V1261" s="28" t="str">
        <f>HYPERLINK("https://znanium.ru/catalog/product/1740254", "Ознакомиться")</f>
        <v>Ознакомиться</v>
      </c>
      <c r="W1261" s="8" t="s">
        <v>7663</v>
      </c>
      <c r="X1261" s="6"/>
      <c r="Y1261" s="6"/>
      <c r="Z1261" s="6"/>
      <c r="AA1261" s="6" t="s">
        <v>103</v>
      </c>
    </row>
    <row r="1262" spans="1:27" s="4" customFormat="1" ht="51.95" customHeight="1">
      <c r="A1262" s="5">
        <v>0</v>
      </c>
      <c r="B1262" s="6" t="s">
        <v>7664</v>
      </c>
      <c r="C1262" s="13">
        <v>720</v>
      </c>
      <c r="D1262" s="8" t="s">
        <v>7665</v>
      </c>
      <c r="E1262" s="8" t="s">
        <v>7666</v>
      </c>
      <c r="F1262" s="8" t="s">
        <v>7667</v>
      </c>
      <c r="G1262" s="6" t="s">
        <v>37</v>
      </c>
      <c r="H1262" s="6" t="s">
        <v>38</v>
      </c>
      <c r="I1262" s="8" t="s">
        <v>39</v>
      </c>
      <c r="J1262" s="9">
        <v>1</v>
      </c>
      <c r="K1262" s="9">
        <v>140</v>
      </c>
      <c r="L1262" s="9">
        <v>2024</v>
      </c>
      <c r="M1262" s="8" t="s">
        <v>7668</v>
      </c>
      <c r="N1262" s="8" t="s">
        <v>41</v>
      </c>
      <c r="O1262" s="8" t="s">
        <v>65</v>
      </c>
      <c r="P1262" s="6" t="s">
        <v>43</v>
      </c>
      <c r="Q1262" s="8" t="s">
        <v>44</v>
      </c>
      <c r="R1262" s="10" t="s">
        <v>7669</v>
      </c>
      <c r="S1262" s="11"/>
      <c r="T1262" s="6"/>
      <c r="U1262" s="28" t="str">
        <f>HYPERLINK("https://media.infra-m.ru/2086/2086348/cover/2086348.jpg", "Обложка")</f>
        <v>Обложка</v>
      </c>
      <c r="V1262" s="28" t="str">
        <f>HYPERLINK("https://znanium.ru/catalog/product/2086348", "Ознакомиться")</f>
        <v>Ознакомиться</v>
      </c>
      <c r="W1262" s="8" t="s">
        <v>7670</v>
      </c>
      <c r="X1262" s="6" t="s">
        <v>503</v>
      </c>
      <c r="Y1262" s="6"/>
      <c r="Z1262" s="6"/>
      <c r="AA1262" s="6" t="s">
        <v>180</v>
      </c>
    </row>
    <row r="1263" spans="1:27" s="4" customFormat="1" ht="51.95" customHeight="1">
      <c r="A1263" s="5">
        <v>0</v>
      </c>
      <c r="B1263" s="6" t="s">
        <v>7671</v>
      </c>
      <c r="C1263" s="7">
        <v>1014.9</v>
      </c>
      <c r="D1263" s="8" t="s">
        <v>7672</v>
      </c>
      <c r="E1263" s="8" t="s">
        <v>7673</v>
      </c>
      <c r="F1263" s="8" t="s">
        <v>7674</v>
      </c>
      <c r="G1263" s="6" t="s">
        <v>37</v>
      </c>
      <c r="H1263" s="6" t="s">
        <v>630</v>
      </c>
      <c r="I1263" s="8" t="s">
        <v>3805</v>
      </c>
      <c r="J1263" s="9">
        <v>1</v>
      </c>
      <c r="K1263" s="9">
        <v>112</v>
      </c>
      <c r="L1263" s="9">
        <v>2023</v>
      </c>
      <c r="M1263" s="8" t="s">
        <v>7675</v>
      </c>
      <c r="N1263" s="8" t="s">
        <v>74</v>
      </c>
      <c r="O1263" s="8" t="s">
        <v>394</v>
      </c>
      <c r="P1263" s="6" t="s">
        <v>55</v>
      </c>
      <c r="Q1263" s="8" t="s">
        <v>56</v>
      </c>
      <c r="R1263" s="10" t="s">
        <v>7676</v>
      </c>
      <c r="S1263" s="11" t="s">
        <v>7677</v>
      </c>
      <c r="T1263" s="6"/>
      <c r="U1263" s="28" t="str">
        <f>HYPERLINK("https://media.infra-m.ru/1911/1911186/cover/1911186.jpg", "Обложка")</f>
        <v>Обложка</v>
      </c>
      <c r="V1263" s="28" t="str">
        <f>HYPERLINK("https://znanium.ru/catalog/product/997137", "Ознакомиться")</f>
        <v>Ознакомиться</v>
      </c>
      <c r="W1263" s="8" t="s">
        <v>634</v>
      </c>
      <c r="X1263" s="6"/>
      <c r="Y1263" s="6"/>
      <c r="Z1263" s="6"/>
      <c r="AA1263" s="6" t="s">
        <v>290</v>
      </c>
    </row>
    <row r="1264" spans="1:27" s="4" customFormat="1" ht="51.95" customHeight="1">
      <c r="A1264" s="5">
        <v>0</v>
      </c>
      <c r="B1264" s="6" t="s">
        <v>7678</v>
      </c>
      <c r="C1264" s="13">
        <v>650</v>
      </c>
      <c r="D1264" s="8" t="s">
        <v>7679</v>
      </c>
      <c r="E1264" s="8" t="s">
        <v>7680</v>
      </c>
      <c r="F1264" s="8" t="s">
        <v>7681</v>
      </c>
      <c r="G1264" s="6" t="s">
        <v>37</v>
      </c>
      <c r="H1264" s="6" t="s">
        <v>38</v>
      </c>
      <c r="I1264" s="8"/>
      <c r="J1264" s="9">
        <v>1</v>
      </c>
      <c r="K1264" s="9">
        <v>128</v>
      </c>
      <c r="L1264" s="9">
        <v>2024</v>
      </c>
      <c r="M1264" s="8" t="s">
        <v>7682</v>
      </c>
      <c r="N1264" s="8" t="s">
        <v>74</v>
      </c>
      <c r="O1264" s="8" t="s">
        <v>394</v>
      </c>
      <c r="P1264" s="6" t="s">
        <v>55</v>
      </c>
      <c r="Q1264" s="8" t="s">
        <v>3190</v>
      </c>
      <c r="R1264" s="10" t="s">
        <v>7683</v>
      </c>
      <c r="S1264" s="11"/>
      <c r="T1264" s="6"/>
      <c r="U1264" s="28" t="str">
        <f>HYPERLINK("https://media.infra-m.ru/2120/2120770/cover/2120770.jpg", "Обложка")</f>
        <v>Обложка</v>
      </c>
      <c r="V1264" s="28" t="str">
        <f>HYPERLINK("https://znanium.ru/catalog/product/2120770", "Ознакомиться")</f>
        <v>Ознакомиться</v>
      </c>
      <c r="W1264" s="8" t="s">
        <v>7684</v>
      </c>
      <c r="X1264" s="6"/>
      <c r="Y1264" s="6"/>
      <c r="Z1264" s="6"/>
      <c r="AA1264" s="6" t="s">
        <v>364</v>
      </c>
    </row>
    <row r="1265" spans="1:27" s="4" customFormat="1" ht="42" customHeight="1">
      <c r="A1265" s="5">
        <v>0</v>
      </c>
      <c r="B1265" s="6" t="s">
        <v>7685</v>
      </c>
      <c r="C1265" s="7">
        <v>2394</v>
      </c>
      <c r="D1265" s="8" t="s">
        <v>7686</v>
      </c>
      <c r="E1265" s="8" t="s">
        <v>7687</v>
      </c>
      <c r="F1265" s="8" t="s">
        <v>7688</v>
      </c>
      <c r="G1265" s="6" t="s">
        <v>123</v>
      </c>
      <c r="H1265" s="6" t="s">
        <v>317</v>
      </c>
      <c r="I1265" s="8" t="s">
        <v>1365</v>
      </c>
      <c r="J1265" s="9">
        <v>1</v>
      </c>
      <c r="K1265" s="9">
        <v>533</v>
      </c>
      <c r="L1265" s="9">
        <v>2023</v>
      </c>
      <c r="M1265" s="8" t="s">
        <v>7689</v>
      </c>
      <c r="N1265" s="8" t="s">
        <v>41</v>
      </c>
      <c r="O1265" s="8" t="s">
        <v>65</v>
      </c>
      <c r="P1265" s="6" t="s">
        <v>43</v>
      </c>
      <c r="Q1265" s="8" t="s">
        <v>44</v>
      </c>
      <c r="R1265" s="10" t="s">
        <v>3329</v>
      </c>
      <c r="S1265" s="11"/>
      <c r="T1265" s="6"/>
      <c r="U1265" s="28" t="str">
        <f>HYPERLINK("https://media.infra-m.ru/2006/2006901/cover/2006901.jpg", "Обложка")</f>
        <v>Обложка</v>
      </c>
      <c r="V1265" s="28" t="str">
        <f>HYPERLINK("https://znanium.ru/catalog/product/982083", "Ознакомиться")</f>
        <v>Ознакомиться</v>
      </c>
      <c r="W1265" s="8" t="s">
        <v>1841</v>
      </c>
      <c r="X1265" s="6"/>
      <c r="Y1265" s="6"/>
      <c r="Z1265" s="6"/>
      <c r="AA1265" s="6" t="s">
        <v>68</v>
      </c>
    </row>
    <row r="1266" spans="1:27" s="4" customFormat="1" ht="51.95" customHeight="1">
      <c r="A1266" s="5">
        <v>0</v>
      </c>
      <c r="B1266" s="6" t="s">
        <v>7690</v>
      </c>
      <c r="C1266" s="13">
        <v>670</v>
      </c>
      <c r="D1266" s="8" t="s">
        <v>7691</v>
      </c>
      <c r="E1266" s="8" t="s">
        <v>7692</v>
      </c>
      <c r="F1266" s="8" t="s">
        <v>400</v>
      </c>
      <c r="G1266" s="6" t="s">
        <v>37</v>
      </c>
      <c r="H1266" s="6" t="s">
        <v>38</v>
      </c>
      <c r="I1266" s="8" t="s">
        <v>39</v>
      </c>
      <c r="J1266" s="9">
        <v>1</v>
      </c>
      <c r="K1266" s="9">
        <v>142</v>
      </c>
      <c r="L1266" s="9">
        <v>2024</v>
      </c>
      <c r="M1266" s="8" t="s">
        <v>7693</v>
      </c>
      <c r="N1266" s="8" t="s">
        <v>74</v>
      </c>
      <c r="O1266" s="8" t="s">
        <v>93</v>
      </c>
      <c r="P1266" s="6" t="s">
        <v>43</v>
      </c>
      <c r="Q1266" s="8" t="s">
        <v>44</v>
      </c>
      <c r="R1266" s="10" t="s">
        <v>7694</v>
      </c>
      <c r="S1266" s="11"/>
      <c r="T1266" s="6"/>
      <c r="U1266" s="28" t="str">
        <f>HYPERLINK("https://media.infra-m.ru/2136/2136034/cover/2136034.jpg", "Обложка")</f>
        <v>Обложка</v>
      </c>
      <c r="V1266" s="28" t="str">
        <f>HYPERLINK("https://znanium.ru/catalog/product/2136034", "Ознакомиться")</f>
        <v>Ознакомиться</v>
      </c>
      <c r="W1266" s="8" t="s">
        <v>402</v>
      </c>
      <c r="X1266" s="6"/>
      <c r="Y1266" s="6"/>
      <c r="Z1266" s="6"/>
      <c r="AA1266" s="6" t="s">
        <v>78</v>
      </c>
    </row>
    <row r="1267" spans="1:27" s="4" customFormat="1" ht="42" customHeight="1">
      <c r="A1267" s="5">
        <v>0</v>
      </c>
      <c r="B1267" s="6" t="s">
        <v>7695</v>
      </c>
      <c r="C1267" s="13">
        <v>830</v>
      </c>
      <c r="D1267" s="8" t="s">
        <v>7696</v>
      </c>
      <c r="E1267" s="8" t="s">
        <v>7697</v>
      </c>
      <c r="F1267" s="8" t="s">
        <v>223</v>
      </c>
      <c r="G1267" s="6" t="s">
        <v>37</v>
      </c>
      <c r="H1267" s="6" t="s">
        <v>38</v>
      </c>
      <c r="I1267" s="8" t="s">
        <v>39</v>
      </c>
      <c r="J1267" s="9">
        <v>1</v>
      </c>
      <c r="K1267" s="9">
        <v>218</v>
      </c>
      <c r="L1267" s="9">
        <v>2021</v>
      </c>
      <c r="M1267" s="8" t="s">
        <v>7698</v>
      </c>
      <c r="N1267" s="8" t="s">
        <v>74</v>
      </c>
      <c r="O1267" s="8" t="s">
        <v>75</v>
      </c>
      <c r="P1267" s="6" t="s">
        <v>43</v>
      </c>
      <c r="Q1267" s="8" t="s">
        <v>44</v>
      </c>
      <c r="R1267" s="10" t="s">
        <v>3006</v>
      </c>
      <c r="S1267" s="11"/>
      <c r="T1267" s="6"/>
      <c r="U1267" s="28" t="str">
        <f>HYPERLINK("https://media.infra-m.ru/1064/1064939/cover/1064939.jpg", "Обложка")</f>
        <v>Обложка</v>
      </c>
      <c r="V1267" s="28" t="str">
        <f>HYPERLINK("https://znanium.ru/catalog/product/1064939", "Ознакомиться")</f>
        <v>Ознакомиться</v>
      </c>
      <c r="W1267" s="8" t="s">
        <v>226</v>
      </c>
      <c r="X1267" s="6"/>
      <c r="Y1267" s="6"/>
      <c r="Z1267" s="6"/>
      <c r="AA1267" s="6" t="s">
        <v>193</v>
      </c>
    </row>
    <row r="1268" spans="1:27" s="4" customFormat="1" ht="51.95" customHeight="1">
      <c r="A1268" s="5">
        <v>0</v>
      </c>
      <c r="B1268" s="6" t="s">
        <v>7699</v>
      </c>
      <c r="C1268" s="13">
        <v>670</v>
      </c>
      <c r="D1268" s="8" t="s">
        <v>7700</v>
      </c>
      <c r="E1268" s="8" t="s">
        <v>7701</v>
      </c>
      <c r="F1268" s="8" t="s">
        <v>672</v>
      </c>
      <c r="G1268" s="6" t="s">
        <v>37</v>
      </c>
      <c r="H1268" s="6" t="s">
        <v>38</v>
      </c>
      <c r="I1268" s="8" t="s">
        <v>164</v>
      </c>
      <c r="J1268" s="9">
        <v>1</v>
      </c>
      <c r="K1268" s="9">
        <v>144</v>
      </c>
      <c r="L1268" s="9">
        <v>2023</v>
      </c>
      <c r="M1268" s="8" t="s">
        <v>7702</v>
      </c>
      <c r="N1268" s="8" t="s">
        <v>74</v>
      </c>
      <c r="O1268" s="8" t="s">
        <v>75</v>
      </c>
      <c r="P1268" s="6" t="s">
        <v>55</v>
      </c>
      <c r="Q1268" s="8" t="s">
        <v>56</v>
      </c>
      <c r="R1268" s="10" t="s">
        <v>7703</v>
      </c>
      <c r="S1268" s="11"/>
      <c r="T1268" s="6"/>
      <c r="U1268" s="28" t="str">
        <f>HYPERLINK("https://media.infra-m.ru/2126/2126767/cover/2126767.jpg", "Обложка")</f>
        <v>Обложка</v>
      </c>
      <c r="V1268" s="28" t="str">
        <f>HYPERLINK("https://znanium.ru/catalog/product/2126767", "Ознакомиться")</f>
        <v>Ознакомиться</v>
      </c>
      <c r="W1268" s="8" t="s">
        <v>511</v>
      </c>
      <c r="X1268" s="6"/>
      <c r="Y1268" s="6"/>
      <c r="Z1268" s="6"/>
      <c r="AA1268" s="6" t="s">
        <v>59</v>
      </c>
    </row>
    <row r="1269" spans="1:27" s="4" customFormat="1" ht="51.95" customHeight="1">
      <c r="A1269" s="5">
        <v>0</v>
      </c>
      <c r="B1269" s="6" t="s">
        <v>7704</v>
      </c>
      <c r="C1269" s="13">
        <v>844.9</v>
      </c>
      <c r="D1269" s="8" t="s">
        <v>7705</v>
      </c>
      <c r="E1269" s="8" t="s">
        <v>7706</v>
      </c>
      <c r="F1269" s="8" t="s">
        <v>7707</v>
      </c>
      <c r="G1269" s="6" t="s">
        <v>37</v>
      </c>
      <c r="H1269" s="6" t="s">
        <v>38</v>
      </c>
      <c r="I1269" s="8" t="s">
        <v>39</v>
      </c>
      <c r="J1269" s="9">
        <v>1</v>
      </c>
      <c r="K1269" s="9">
        <v>182</v>
      </c>
      <c r="L1269" s="9">
        <v>2024</v>
      </c>
      <c r="M1269" s="8" t="s">
        <v>7708</v>
      </c>
      <c r="N1269" s="8" t="s">
        <v>74</v>
      </c>
      <c r="O1269" s="8" t="s">
        <v>394</v>
      </c>
      <c r="P1269" s="6" t="s">
        <v>43</v>
      </c>
      <c r="Q1269" s="8" t="s">
        <v>44</v>
      </c>
      <c r="R1269" s="10" t="s">
        <v>7709</v>
      </c>
      <c r="S1269" s="11"/>
      <c r="T1269" s="6"/>
      <c r="U1269" s="28" t="str">
        <f>HYPERLINK("https://media.infra-m.ru/2117/2117566/cover/2117566.jpg", "Обложка")</f>
        <v>Обложка</v>
      </c>
      <c r="V1269" s="28" t="str">
        <f>HYPERLINK("https://znanium.ru/catalog/product/2117073", "Ознакомиться")</f>
        <v>Ознакомиться</v>
      </c>
      <c r="W1269" s="8" t="s">
        <v>7710</v>
      </c>
      <c r="X1269" s="6"/>
      <c r="Y1269" s="6"/>
      <c r="Z1269" s="6"/>
      <c r="AA1269" s="6" t="s">
        <v>111</v>
      </c>
    </row>
    <row r="1270" spans="1:27" s="4" customFormat="1" ht="51.95" customHeight="1">
      <c r="A1270" s="5">
        <v>0</v>
      </c>
      <c r="B1270" s="6" t="s">
        <v>7711</v>
      </c>
      <c r="C1270" s="7">
        <v>1134</v>
      </c>
      <c r="D1270" s="8" t="s">
        <v>7712</v>
      </c>
      <c r="E1270" s="8" t="s">
        <v>7713</v>
      </c>
      <c r="F1270" s="8" t="s">
        <v>7714</v>
      </c>
      <c r="G1270" s="6" t="s">
        <v>123</v>
      </c>
      <c r="H1270" s="6" t="s">
        <v>317</v>
      </c>
      <c r="I1270" s="8" t="s">
        <v>164</v>
      </c>
      <c r="J1270" s="9">
        <v>1</v>
      </c>
      <c r="K1270" s="9">
        <v>252</v>
      </c>
      <c r="L1270" s="9">
        <v>2023</v>
      </c>
      <c r="M1270" s="8" t="s">
        <v>7715</v>
      </c>
      <c r="N1270" s="8" t="s">
        <v>41</v>
      </c>
      <c r="O1270" s="8" t="s">
        <v>65</v>
      </c>
      <c r="P1270" s="6" t="s">
        <v>176</v>
      </c>
      <c r="Q1270" s="8" t="s">
        <v>56</v>
      </c>
      <c r="R1270" s="10" t="s">
        <v>7716</v>
      </c>
      <c r="S1270" s="11" t="s">
        <v>7717</v>
      </c>
      <c r="T1270" s="6"/>
      <c r="U1270" s="28" t="str">
        <f>HYPERLINK("https://media.infra-m.ru/1981/1981658/cover/1981658.jpg", "Обложка")</f>
        <v>Обложка</v>
      </c>
      <c r="V1270" s="28" t="str">
        <f>HYPERLINK("https://znanium.ru/catalog/product/1233826", "Ознакомиться")</f>
        <v>Ознакомиться</v>
      </c>
      <c r="W1270" s="8"/>
      <c r="X1270" s="6"/>
      <c r="Y1270" s="6"/>
      <c r="Z1270" s="6"/>
      <c r="AA1270" s="6" t="s">
        <v>364</v>
      </c>
    </row>
    <row r="1271" spans="1:27" s="4" customFormat="1" ht="51.95" customHeight="1">
      <c r="A1271" s="5">
        <v>0</v>
      </c>
      <c r="B1271" s="6" t="s">
        <v>7718</v>
      </c>
      <c r="C1271" s="13">
        <v>964</v>
      </c>
      <c r="D1271" s="8" t="s">
        <v>7719</v>
      </c>
      <c r="E1271" s="8" t="s">
        <v>7720</v>
      </c>
      <c r="F1271" s="8" t="s">
        <v>7721</v>
      </c>
      <c r="G1271" s="6" t="s">
        <v>123</v>
      </c>
      <c r="H1271" s="6" t="s">
        <v>38</v>
      </c>
      <c r="I1271" s="8" t="s">
        <v>164</v>
      </c>
      <c r="J1271" s="9">
        <v>1</v>
      </c>
      <c r="K1271" s="9">
        <v>208</v>
      </c>
      <c r="L1271" s="9">
        <v>2024</v>
      </c>
      <c r="M1271" s="8" t="s">
        <v>7722</v>
      </c>
      <c r="N1271" s="8" t="s">
        <v>41</v>
      </c>
      <c r="O1271" s="8" t="s">
        <v>65</v>
      </c>
      <c r="P1271" s="6" t="s">
        <v>55</v>
      </c>
      <c r="Q1271" s="8" t="s">
        <v>56</v>
      </c>
      <c r="R1271" s="10" t="s">
        <v>3368</v>
      </c>
      <c r="S1271" s="11" t="s">
        <v>7723</v>
      </c>
      <c r="T1271" s="6"/>
      <c r="U1271" s="28" t="str">
        <f>HYPERLINK("https://media.infra-m.ru/2056/2056796/cover/2056796.jpg", "Обложка")</f>
        <v>Обложка</v>
      </c>
      <c r="V1271" s="28" t="str">
        <f>HYPERLINK("https://znanium.ru/catalog/product/1496283", "Ознакомиться")</f>
        <v>Ознакомиться</v>
      </c>
      <c r="W1271" s="8" t="s">
        <v>363</v>
      </c>
      <c r="X1271" s="6"/>
      <c r="Y1271" s="6"/>
      <c r="Z1271" s="6"/>
      <c r="AA1271" s="6" t="s">
        <v>826</v>
      </c>
    </row>
    <row r="1272" spans="1:27" s="4" customFormat="1" ht="51.95" customHeight="1">
      <c r="A1272" s="5">
        <v>0</v>
      </c>
      <c r="B1272" s="6" t="s">
        <v>7724</v>
      </c>
      <c r="C1272" s="7">
        <v>1114</v>
      </c>
      <c r="D1272" s="8" t="s">
        <v>7725</v>
      </c>
      <c r="E1272" s="8" t="s">
        <v>7726</v>
      </c>
      <c r="F1272" s="8" t="s">
        <v>7727</v>
      </c>
      <c r="G1272" s="6" t="s">
        <v>123</v>
      </c>
      <c r="H1272" s="6" t="s">
        <v>38</v>
      </c>
      <c r="I1272" s="8" t="s">
        <v>164</v>
      </c>
      <c r="J1272" s="9">
        <v>1</v>
      </c>
      <c r="K1272" s="9">
        <v>237</v>
      </c>
      <c r="L1272" s="9">
        <v>2024</v>
      </c>
      <c r="M1272" s="8" t="s">
        <v>7728</v>
      </c>
      <c r="N1272" s="8" t="s">
        <v>41</v>
      </c>
      <c r="O1272" s="8" t="s">
        <v>65</v>
      </c>
      <c r="P1272" s="6" t="s">
        <v>176</v>
      </c>
      <c r="Q1272" s="8" t="s">
        <v>56</v>
      </c>
      <c r="R1272" s="10" t="s">
        <v>5014</v>
      </c>
      <c r="S1272" s="11" t="s">
        <v>7729</v>
      </c>
      <c r="T1272" s="6"/>
      <c r="U1272" s="28" t="str">
        <f>HYPERLINK("https://media.infra-m.ru/2152/2152111/cover/2152111.jpg", "Обложка")</f>
        <v>Обложка</v>
      </c>
      <c r="V1272" s="28" t="str">
        <f>HYPERLINK("https://znanium.ru/catalog/product/1001311", "Ознакомиться")</f>
        <v>Ознакомиться</v>
      </c>
      <c r="W1272" s="8" t="s">
        <v>4348</v>
      </c>
      <c r="X1272" s="6"/>
      <c r="Y1272" s="6"/>
      <c r="Z1272" s="6"/>
      <c r="AA1272" s="6" t="s">
        <v>59</v>
      </c>
    </row>
    <row r="1273" spans="1:27" s="4" customFormat="1" ht="51.95" customHeight="1">
      <c r="A1273" s="5">
        <v>0</v>
      </c>
      <c r="B1273" s="6" t="s">
        <v>7730</v>
      </c>
      <c r="C1273" s="7">
        <v>1094.9000000000001</v>
      </c>
      <c r="D1273" s="8" t="s">
        <v>7731</v>
      </c>
      <c r="E1273" s="8" t="s">
        <v>7732</v>
      </c>
      <c r="F1273" s="8" t="s">
        <v>1102</v>
      </c>
      <c r="G1273" s="6" t="s">
        <v>123</v>
      </c>
      <c r="H1273" s="6" t="s">
        <v>38</v>
      </c>
      <c r="I1273" s="8" t="s">
        <v>39</v>
      </c>
      <c r="J1273" s="9">
        <v>1</v>
      </c>
      <c r="K1273" s="9">
        <v>312</v>
      </c>
      <c r="L1273" s="9">
        <v>2020</v>
      </c>
      <c r="M1273" s="8" t="s">
        <v>7733</v>
      </c>
      <c r="N1273" s="8" t="s">
        <v>41</v>
      </c>
      <c r="O1273" s="8" t="s">
        <v>65</v>
      </c>
      <c r="P1273" s="6" t="s">
        <v>43</v>
      </c>
      <c r="Q1273" s="8" t="s">
        <v>44</v>
      </c>
      <c r="R1273" s="10" t="s">
        <v>7734</v>
      </c>
      <c r="S1273" s="11"/>
      <c r="T1273" s="6"/>
      <c r="U1273" s="28" t="str">
        <f>HYPERLINK("https://media.infra-m.ru/1047/1047120/cover/1047120.jpg", "Обложка")</f>
        <v>Обложка</v>
      </c>
      <c r="V1273" s="28" t="str">
        <f>HYPERLINK("https://znanium.ru/catalog/product/1047120", "Ознакомиться")</f>
        <v>Ознакомиться</v>
      </c>
      <c r="W1273" s="8" t="s">
        <v>1105</v>
      </c>
      <c r="X1273" s="6"/>
      <c r="Y1273" s="6"/>
      <c r="Z1273" s="6"/>
      <c r="AA1273" s="6" t="s">
        <v>650</v>
      </c>
    </row>
    <row r="1274" spans="1:27" s="4" customFormat="1" ht="51.95" customHeight="1">
      <c r="A1274" s="5">
        <v>0</v>
      </c>
      <c r="B1274" s="6" t="s">
        <v>7735</v>
      </c>
      <c r="C1274" s="13">
        <v>570</v>
      </c>
      <c r="D1274" s="8" t="s">
        <v>7736</v>
      </c>
      <c r="E1274" s="8" t="s">
        <v>7737</v>
      </c>
      <c r="F1274" s="8" t="s">
        <v>7738</v>
      </c>
      <c r="G1274" s="6" t="s">
        <v>37</v>
      </c>
      <c r="H1274" s="6" t="s">
        <v>38</v>
      </c>
      <c r="I1274" s="8" t="s">
        <v>155</v>
      </c>
      <c r="J1274" s="9">
        <v>1</v>
      </c>
      <c r="K1274" s="9">
        <v>120</v>
      </c>
      <c r="L1274" s="9">
        <v>2024</v>
      </c>
      <c r="M1274" s="8" t="s">
        <v>7739</v>
      </c>
      <c r="N1274" s="8" t="s">
        <v>74</v>
      </c>
      <c r="O1274" s="8" t="s">
        <v>109</v>
      </c>
      <c r="P1274" s="6" t="s">
        <v>55</v>
      </c>
      <c r="Q1274" s="8" t="s">
        <v>56</v>
      </c>
      <c r="R1274" s="10" t="s">
        <v>3268</v>
      </c>
      <c r="S1274" s="11" t="s">
        <v>7740</v>
      </c>
      <c r="T1274" s="6" t="s">
        <v>190</v>
      </c>
      <c r="U1274" s="28" t="str">
        <f>HYPERLINK("https://media.infra-m.ru/2118/2118170/cover/2118170.jpg", "Обложка")</f>
        <v>Обложка</v>
      </c>
      <c r="V1274" s="28" t="str">
        <f>HYPERLINK("https://znanium.ru/catalog/product/2118170", "Ознакомиться")</f>
        <v>Ознакомиться</v>
      </c>
      <c r="W1274" s="8" t="s">
        <v>1547</v>
      </c>
      <c r="X1274" s="6"/>
      <c r="Y1274" s="6"/>
      <c r="Z1274" s="6"/>
      <c r="AA1274" s="6" t="s">
        <v>290</v>
      </c>
    </row>
    <row r="1275" spans="1:27" s="4" customFormat="1" ht="51.95" customHeight="1">
      <c r="A1275" s="5">
        <v>0</v>
      </c>
      <c r="B1275" s="6" t="s">
        <v>7741</v>
      </c>
      <c r="C1275" s="13">
        <v>590</v>
      </c>
      <c r="D1275" s="8" t="s">
        <v>7742</v>
      </c>
      <c r="E1275" s="8" t="s">
        <v>7743</v>
      </c>
      <c r="F1275" s="8" t="s">
        <v>7744</v>
      </c>
      <c r="G1275" s="6" t="s">
        <v>37</v>
      </c>
      <c r="H1275" s="6" t="s">
        <v>52</v>
      </c>
      <c r="I1275" s="8" t="s">
        <v>155</v>
      </c>
      <c r="J1275" s="9">
        <v>1</v>
      </c>
      <c r="K1275" s="9">
        <v>96</v>
      </c>
      <c r="L1275" s="9">
        <v>2024</v>
      </c>
      <c r="M1275" s="8" t="s">
        <v>7745</v>
      </c>
      <c r="N1275" s="8" t="s">
        <v>74</v>
      </c>
      <c r="O1275" s="8" t="s">
        <v>394</v>
      </c>
      <c r="P1275" s="6" t="s">
        <v>55</v>
      </c>
      <c r="Q1275" s="8" t="s">
        <v>56</v>
      </c>
      <c r="R1275" s="10" t="s">
        <v>7746</v>
      </c>
      <c r="S1275" s="11" t="s">
        <v>7747</v>
      </c>
      <c r="T1275" s="6"/>
      <c r="U1275" s="28" t="str">
        <f>HYPERLINK("https://media.infra-m.ru/2087/2087720/cover/2087720.jpg", "Обложка")</f>
        <v>Обложка</v>
      </c>
      <c r="V1275" s="28" t="str">
        <f>HYPERLINK("https://znanium.ru/catalog/product/2087720", "Ознакомиться")</f>
        <v>Ознакомиться</v>
      </c>
      <c r="W1275" s="8" t="s">
        <v>7748</v>
      </c>
      <c r="X1275" s="6"/>
      <c r="Y1275" s="6"/>
      <c r="Z1275" s="6"/>
      <c r="AA1275" s="6" t="s">
        <v>169</v>
      </c>
    </row>
    <row r="1276" spans="1:27" s="4" customFormat="1" ht="51.95" customHeight="1">
      <c r="A1276" s="5">
        <v>0</v>
      </c>
      <c r="B1276" s="6" t="s">
        <v>7749</v>
      </c>
      <c r="C1276" s="13">
        <v>444</v>
      </c>
      <c r="D1276" s="8" t="s">
        <v>7750</v>
      </c>
      <c r="E1276" s="8" t="s">
        <v>7743</v>
      </c>
      <c r="F1276" s="8" t="s">
        <v>7744</v>
      </c>
      <c r="G1276" s="6" t="s">
        <v>37</v>
      </c>
      <c r="H1276" s="6" t="s">
        <v>52</v>
      </c>
      <c r="I1276" s="8" t="s">
        <v>205</v>
      </c>
      <c r="J1276" s="9">
        <v>1</v>
      </c>
      <c r="K1276" s="9">
        <v>96</v>
      </c>
      <c r="L1276" s="9">
        <v>2024</v>
      </c>
      <c r="M1276" s="8" t="s">
        <v>7751</v>
      </c>
      <c r="N1276" s="8" t="s">
        <v>74</v>
      </c>
      <c r="O1276" s="8" t="s">
        <v>394</v>
      </c>
      <c r="P1276" s="6" t="s">
        <v>55</v>
      </c>
      <c r="Q1276" s="8" t="s">
        <v>207</v>
      </c>
      <c r="R1276" s="10" t="s">
        <v>3242</v>
      </c>
      <c r="S1276" s="11" t="s">
        <v>7752</v>
      </c>
      <c r="T1276" s="6"/>
      <c r="U1276" s="28" t="str">
        <f>HYPERLINK("https://media.infra-m.ru/2125/2125004/cover/2125004.jpg", "Обложка")</f>
        <v>Обложка</v>
      </c>
      <c r="V1276" s="28" t="str">
        <f>HYPERLINK("https://znanium.ru/catalog/product/1074616", "Ознакомиться")</f>
        <v>Ознакомиться</v>
      </c>
      <c r="W1276" s="8" t="s">
        <v>7748</v>
      </c>
      <c r="X1276" s="6"/>
      <c r="Y1276" s="6"/>
      <c r="Z1276" s="6" t="s">
        <v>235</v>
      </c>
      <c r="AA1276" s="6" t="s">
        <v>768</v>
      </c>
    </row>
    <row r="1277" spans="1:27" s="4" customFormat="1" ht="42" customHeight="1">
      <c r="A1277" s="5">
        <v>0</v>
      </c>
      <c r="B1277" s="6" t="s">
        <v>7753</v>
      </c>
      <c r="C1277" s="13">
        <v>530</v>
      </c>
      <c r="D1277" s="8" t="s">
        <v>7754</v>
      </c>
      <c r="E1277" s="8" t="s">
        <v>7755</v>
      </c>
      <c r="F1277" s="8" t="s">
        <v>7756</v>
      </c>
      <c r="G1277" s="6" t="s">
        <v>37</v>
      </c>
      <c r="H1277" s="6" t="s">
        <v>38</v>
      </c>
      <c r="I1277" s="8" t="s">
        <v>39</v>
      </c>
      <c r="J1277" s="9">
        <v>1</v>
      </c>
      <c r="K1277" s="9">
        <v>106</v>
      </c>
      <c r="L1277" s="9">
        <v>2024</v>
      </c>
      <c r="M1277" s="8" t="s">
        <v>7757</v>
      </c>
      <c r="N1277" s="8" t="s">
        <v>41</v>
      </c>
      <c r="O1277" s="8" t="s">
        <v>54</v>
      </c>
      <c r="P1277" s="6" t="s">
        <v>43</v>
      </c>
      <c r="Q1277" s="8" t="s">
        <v>44</v>
      </c>
      <c r="R1277" s="10" t="s">
        <v>440</v>
      </c>
      <c r="S1277" s="11"/>
      <c r="T1277" s="6"/>
      <c r="U1277" s="28" t="str">
        <f>HYPERLINK("https://media.infra-m.ru/2085/2085536/cover/2085536.jpg", "Обложка")</f>
        <v>Обложка</v>
      </c>
      <c r="V1277" s="28" t="str">
        <f>HYPERLINK("https://znanium.ru/catalog/product/2085536", "Ознакомиться")</f>
        <v>Ознакомиться</v>
      </c>
      <c r="W1277" s="8" t="s">
        <v>327</v>
      </c>
      <c r="X1277" s="6"/>
      <c r="Y1277" s="6"/>
      <c r="Z1277" s="6"/>
      <c r="AA1277" s="6" t="s">
        <v>650</v>
      </c>
    </row>
    <row r="1278" spans="1:27" s="4" customFormat="1" ht="42" customHeight="1">
      <c r="A1278" s="5">
        <v>0</v>
      </c>
      <c r="B1278" s="6" t="s">
        <v>7758</v>
      </c>
      <c r="C1278" s="13">
        <v>634</v>
      </c>
      <c r="D1278" s="8" t="s">
        <v>7759</v>
      </c>
      <c r="E1278" s="8" t="s">
        <v>7760</v>
      </c>
      <c r="F1278" s="8" t="s">
        <v>7761</v>
      </c>
      <c r="G1278" s="6" t="s">
        <v>37</v>
      </c>
      <c r="H1278" s="6" t="s">
        <v>38</v>
      </c>
      <c r="I1278" s="8" t="s">
        <v>1900</v>
      </c>
      <c r="J1278" s="9">
        <v>1</v>
      </c>
      <c r="K1278" s="9">
        <v>127</v>
      </c>
      <c r="L1278" s="9">
        <v>2024</v>
      </c>
      <c r="M1278" s="8" t="s">
        <v>7762</v>
      </c>
      <c r="N1278" s="8" t="s">
        <v>41</v>
      </c>
      <c r="O1278" s="8" t="s">
        <v>54</v>
      </c>
      <c r="P1278" s="6" t="s">
        <v>1604</v>
      </c>
      <c r="Q1278" s="8" t="s">
        <v>7763</v>
      </c>
      <c r="R1278" s="10" t="s">
        <v>7764</v>
      </c>
      <c r="S1278" s="11"/>
      <c r="T1278" s="6"/>
      <c r="U1278" s="28" t="str">
        <f>HYPERLINK("https://media.infra-m.ru/2136/2136740/cover/2136740.jpg", "Обложка")</f>
        <v>Обложка</v>
      </c>
      <c r="V1278" s="28" t="str">
        <f>HYPERLINK("https://znanium.ru/catalog/product/2102655", "Ознакомиться")</f>
        <v>Ознакомиться</v>
      </c>
      <c r="W1278" s="8" t="s">
        <v>7765</v>
      </c>
      <c r="X1278" s="6"/>
      <c r="Y1278" s="6"/>
      <c r="Z1278" s="6"/>
      <c r="AA1278" s="6" t="s">
        <v>1006</v>
      </c>
    </row>
    <row r="1279" spans="1:27" s="4" customFormat="1" ht="42" customHeight="1">
      <c r="A1279" s="5">
        <v>0</v>
      </c>
      <c r="B1279" s="6" t="s">
        <v>7766</v>
      </c>
      <c r="C1279" s="13">
        <v>434.9</v>
      </c>
      <c r="D1279" s="8" t="s">
        <v>7767</v>
      </c>
      <c r="E1279" s="8" t="s">
        <v>7768</v>
      </c>
      <c r="F1279" s="8" t="s">
        <v>7761</v>
      </c>
      <c r="G1279" s="6" t="s">
        <v>37</v>
      </c>
      <c r="H1279" s="6" t="s">
        <v>52</v>
      </c>
      <c r="I1279" s="8"/>
      <c r="J1279" s="9">
        <v>1</v>
      </c>
      <c r="K1279" s="9">
        <v>128</v>
      </c>
      <c r="L1279" s="9">
        <v>2019</v>
      </c>
      <c r="M1279" s="8" t="s">
        <v>7769</v>
      </c>
      <c r="N1279" s="8" t="s">
        <v>41</v>
      </c>
      <c r="O1279" s="8" t="s">
        <v>54</v>
      </c>
      <c r="P1279" s="6" t="s">
        <v>1922</v>
      </c>
      <c r="Q1279" s="8" t="s">
        <v>7763</v>
      </c>
      <c r="R1279" s="10" t="s">
        <v>7764</v>
      </c>
      <c r="S1279" s="11"/>
      <c r="T1279" s="6"/>
      <c r="U1279" s="28" t="str">
        <f>HYPERLINK("https://media.infra-m.ru/1030/1030526/cover/1030526.jpg", "Обложка")</f>
        <v>Обложка</v>
      </c>
      <c r="V1279" s="28" t="str">
        <f>HYPERLINK("https://znanium.ru/catalog/product/2102655", "Ознакомиться")</f>
        <v>Ознакомиться</v>
      </c>
      <c r="W1279" s="8" t="s">
        <v>7765</v>
      </c>
      <c r="X1279" s="6"/>
      <c r="Y1279" s="6"/>
      <c r="Z1279" s="6"/>
      <c r="AA1279" s="6" t="s">
        <v>826</v>
      </c>
    </row>
    <row r="1280" spans="1:27" s="4" customFormat="1" ht="51.95" customHeight="1">
      <c r="A1280" s="5">
        <v>0</v>
      </c>
      <c r="B1280" s="6" t="s">
        <v>7770</v>
      </c>
      <c r="C1280" s="7">
        <v>1104</v>
      </c>
      <c r="D1280" s="8" t="s">
        <v>7771</v>
      </c>
      <c r="E1280" s="8" t="s">
        <v>7772</v>
      </c>
      <c r="F1280" s="8" t="s">
        <v>7773</v>
      </c>
      <c r="G1280" s="6" t="s">
        <v>83</v>
      </c>
      <c r="H1280" s="6" t="s">
        <v>38</v>
      </c>
      <c r="I1280" s="8" t="s">
        <v>39</v>
      </c>
      <c r="J1280" s="9">
        <v>1</v>
      </c>
      <c r="K1280" s="9">
        <v>237</v>
      </c>
      <c r="L1280" s="9">
        <v>2023</v>
      </c>
      <c r="M1280" s="8" t="s">
        <v>7774</v>
      </c>
      <c r="N1280" s="8" t="s">
        <v>41</v>
      </c>
      <c r="O1280" s="8" t="s">
        <v>65</v>
      </c>
      <c r="P1280" s="6" t="s">
        <v>43</v>
      </c>
      <c r="Q1280" s="8" t="s">
        <v>44</v>
      </c>
      <c r="R1280" s="10" t="s">
        <v>7775</v>
      </c>
      <c r="S1280" s="11"/>
      <c r="T1280" s="6"/>
      <c r="U1280" s="28" t="str">
        <f>HYPERLINK("https://media.infra-m.ru/2123/2123885/cover/2123885.jpg", "Обложка")</f>
        <v>Обложка</v>
      </c>
      <c r="V1280" s="28" t="str">
        <f>HYPERLINK("https://znanium.ru/catalog/product/2116739", "Ознакомиться")</f>
        <v>Ознакомиться</v>
      </c>
      <c r="W1280" s="8" t="s">
        <v>448</v>
      </c>
      <c r="X1280" s="6"/>
      <c r="Y1280" s="6"/>
      <c r="Z1280" s="6"/>
      <c r="AA1280" s="6" t="s">
        <v>111</v>
      </c>
    </row>
    <row r="1281" spans="1:27" s="4" customFormat="1" ht="44.1" customHeight="1">
      <c r="A1281" s="5">
        <v>0</v>
      </c>
      <c r="B1281" s="6" t="s">
        <v>7776</v>
      </c>
      <c r="C1281" s="13">
        <v>660</v>
      </c>
      <c r="D1281" s="8" t="s">
        <v>7777</v>
      </c>
      <c r="E1281" s="8" t="s">
        <v>7778</v>
      </c>
      <c r="F1281" s="8" t="s">
        <v>136</v>
      </c>
      <c r="G1281" s="6" t="s">
        <v>37</v>
      </c>
      <c r="H1281" s="6" t="s">
        <v>38</v>
      </c>
      <c r="I1281" s="8" t="s">
        <v>137</v>
      </c>
      <c r="J1281" s="9">
        <v>1</v>
      </c>
      <c r="K1281" s="9">
        <v>147</v>
      </c>
      <c r="L1281" s="9">
        <v>2023</v>
      </c>
      <c r="M1281" s="8" t="s">
        <v>7779</v>
      </c>
      <c r="N1281" s="8" t="s">
        <v>41</v>
      </c>
      <c r="O1281" s="8" t="s">
        <v>65</v>
      </c>
      <c r="P1281" s="6" t="s">
        <v>43</v>
      </c>
      <c r="Q1281" s="8" t="s">
        <v>44</v>
      </c>
      <c r="R1281" s="10" t="s">
        <v>7780</v>
      </c>
      <c r="S1281" s="11"/>
      <c r="T1281" s="6"/>
      <c r="U1281" s="28" t="str">
        <f>HYPERLINK("https://media.infra-m.ru/1893/1893846/cover/1893846.jpg", "Обложка")</f>
        <v>Обложка</v>
      </c>
      <c r="V1281" s="28" t="str">
        <f>HYPERLINK("https://znanium.ru/catalog/product/1893846", "Ознакомиться")</f>
        <v>Ознакомиться</v>
      </c>
      <c r="W1281" s="8" t="s">
        <v>140</v>
      </c>
      <c r="X1281" s="6"/>
      <c r="Y1281" s="6"/>
      <c r="Z1281" s="6"/>
      <c r="AA1281" s="6" t="s">
        <v>68</v>
      </c>
    </row>
    <row r="1282" spans="1:27" s="4" customFormat="1" ht="44.1" customHeight="1">
      <c r="A1282" s="5">
        <v>0</v>
      </c>
      <c r="B1282" s="6" t="s">
        <v>7781</v>
      </c>
      <c r="C1282" s="7">
        <v>1440</v>
      </c>
      <c r="D1282" s="8" t="s">
        <v>7782</v>
      </c>
      <c r="E1282" s="8" t="s">
        <v>7783</v>
      </c>
      <c r="F1282" s="8" t="s">
        <v>816</v>
      </c>
      <c r="G1282" s="6" t="s">
        <v>37</v>
      </c>
      <c r="H1282" s="6" t="s">
        <v>38</v>
      </c>
      <c r="I1282" s="8" t="s">
        <v>39</v>
      </c>
      <c r="J1282" s="9">
        <v>1</v>
      </c>
      <c r="K1282" s="9">
        <v>320</v>
      </c>
      <c r="L1282" s="9">
        <v>2023</v>
      </c>
      <c r="M1282" s="8" t="s">
        <v>7784</v>
      </c>
      <c r="N1282" s="8" t="s">
        <v>41</v>
      </c>
      <c r="O1282" s="8" t="s">
        <v>65</v>
      </c>
      <c r="P1282" s="6" t="s">
        <v>43</v>
      </c>
      <c r="Q1282" s="8" t="s">
        <v>44</v>
      </c>
      <c r="R1282" s="10" t="s">
        <v>7785</v>
      </c>
      <c r="S1282" s="11"/>
      <c r="T1282" s="6"/>
      <c r="U1282" s="28" t="str">
        <f>HYPERLINK("https://media.infra-m.ru/1912/1912404/cover/1912404.jpg", "Обложка")</f>
        <v>Обложка</v>
      </c>
      <c r="V1282" s="28" t="str">
        <f>HYPERLINK("https://znanium.ru/catalog/product/1912404", "Ознакомиться")</f>
        <v>Ознакомиться</v>
      </c>
      <c r="W1282" s="8" t="s">
        <v>805</v>
      </c>
      <c r="X1282" s="6"/>
      <c r="Y1282" s="6"/>
      <c r="Z1282" s="6"/>
      <c r="AA1282" s="6" t="s">
        <v>78</v>
      </c>
    </row>
    <row r="1283" spans="1:27" s="4" customFormat="1" ht="42" customHeight="1">
      <c r="A1283" s="5">
        <v>0</v>
      </c>
      <c r="B1283" s="6" t="s">
        <v>7786</v>
      </c>
      <c r="C1283" s="7">
        <v>1574</v>
      </c>
      <c r="D1283" s="8" t="s">
        <v>7787</v>
      </c>
      <c r="E1283" s="8" t="s">
        <v>7788</v>
      </c>
      <c r="F1283" s="8" t="s">
        <v>816</v>
      </c>
      <c r="G1283" s="6" t="s">
        <v>123</v>
      </c>
      <c r="H1283" s="6" t="s">
        <v>38</v>
      </c>
      <c r="I1283" s="8" t="s">
        <v>39</v>
      </c>
      <c r="J1283" s="9">
        <v>1</v>
      </c>
      <c r="K1283" s="9">
        <v>348</v>
      </c>
      <c r="L1283" s="9">
        <v>2023</v>
      </c>
      <c r="M1283" s="8" t="s">
        <v>7789</v>
      </c>
      <c r="N1283" s="8" t="s">
        <v>74</v>
      </c>
      <c r="O1283" s="8" t="s">
        <v>93</v>
      </c>
      <c r="P1283" s="6" t="s">
        <v>43</v>
      </c>
      <c r="Q1283" s="8" t="s">
        <v>44</v>
      </c>
      <c r="R1283" s="10" t="s">
        <v>225</v>
      </c>
      <c r="S1283" s="11"/>
      <c r="T1283" s="6"/>
      <c r="U1283" s="28" t="str">
        <f>HYPERLINK("https://media.infra-m.ru/2030/2030880/cover/2030880.jpg", "Обложка")</f>
        <v>Обложка</v>
      </c>
      <c r="V1283" s="28" t="str">
        <f>HYPERLINK("https://znanium.ru/catalog/product/995428", "Ознакомиться")</f>
        <v>Ознакомиться</v>
      </c>
      <c r="W1283" s="8" t="s">
        <v>805</v>
      </c>
      <c r="X1283" s="6"/>
      <c r="Y1283" s="6"/>
      <c r="Z1283" s="6"/>
      <c r="AA1283" s="6" t="s">
        <v>150</v>
      </c>
    </row>
    <row r="1284" spans="1:27" s="4" customFormat="1" ht="44.1" customHeight="1">
      <c r="A1284" s="5">
        <v>0</v>
      </c>
      <c r="B1284" s="6" t="s">
        <v>7790</v>
      </c>
      <c r="C1284" s="13">
        <v>684.9</v>
      </c>
      <c r="D1284" s="8" t="s">
        <v>7791</v>
      </c>
      <c r="E1284" s="8" t="s">
        <v>7792</v>
      </c>
      <c r="F1284" s="8" t="s">
        <v>7793</v>
      </c>
      <c r="G1284" s="6" t="s">
        <v>37</v>
      </c>
      <c r="H1284" s="6" t="s">
        <v>38</v>
      </c>
      <c r="I1284" s="8" t="s">
        <v>39</v>
      </c>
      <c r="J1284" s="9">
        <v>1</v>
      </c>
      <c r="K1284" s="9">
        <v>96</v>
      </c>
      <c r="L1284" s="9">
        <v>2019</v>
      </c>
      <c r="M1284" s="8" t="s">
        <v>7794</v>
      </c>
      <c r="N1284" s="8" t="s">
        <v>74</v>
      </c>
      <c r="O1284" s="8" t="s">
        <v>75</v>
      </c>
      <c r="P1284" s="6" t="s">
        <v>43</v>
      </c>
      <c r="Q1284" s="8" t="s">
        <v>44</v>
      </c>
      <c r="R1284" s="10" t="s">
        <v>7795</v>
      </c>
      <c r="S1284" s="11"/>
      <c r="T1284" s="6" t="s">
        <v>190</v>
      </c>
      <c r="U1284" s="28" t="str">
        <f>HYPERLINK("https://media.infra-m.ru/1009/1009763/cover/1009763.jpg", "Обложка")</f>
        <v>Обложка</v>
      </c>
      <c r="V1284" s="28" t="str">
        <f>HYPERLINK("https://znanium.ru/catalog/product/1009763", "Ознакомиться")</f>
        <v>Ознакомиться</v>
      </c>
      <c r="W1284" s="8" t="s">
        <v>6403</v>
      </c>
      <c r="X1284" s="6"/>
      <c r="Y1284" s="6"/>
      <c r="Z1284" s="6"/>
      <c r="AA1284" s="6" t="s">
        <v>381</v>
      </c>
    </row>
    <row r="1285" spans="1:27" s="4" customFormat="1" ht="44.1" customHeight="1">
      <c r="A1285" s="5">
        <v>0</v>
      </c>
      <c r="B1285" s="6" t="s">
        <v>7796</v>
      </c>
      <c r="C1285" s="13">
        <v>950</v>
      </c>
      <c r="D1285" s="8" t="s">
        <v>7797</v>
      </c>
      <c r="E1285" s="8" t="s">
        <v>7798</v>
      </c>
      <c r="F1285" s="8" t="s">
        <v>406</v>
      </c>
      <c r="G1285" s="6" t="s">
        <v>83</v>
      </c>
      <c r="H1285" s="6" t="s">
        <v>38</v>
      </c>
      <c r="I1285" s="8" t="s">
        <v>39</v>
      </c>
      <c r="J1285" s="9">
        <v>1</v>
      </c>
      <c r="K1285" s="9">
        <v>206</v>
      </c>
      <c r="L1285" s="9">
        <v>2024</v>
      </c>
      <c r="M1285" s="8" t="s">
        <v>7799</v>
      </c>
      <c r="N1285" s="8" t="s">
        <v>74</v>
      </c>
      <c r="O1285" s="8" t="s">
        <v>75</v>
      </c>
      <c r="P1285" s="6" t="s">
        <v>43</v>
      </c>
      <c r="Q1285" s="8" t="s">
        <v>44</v>
      </c>
      <c r="R1285" s="10" t="s">
        <v>7800</v>
      </c>
      <c r="S1285" s="11"/>
      <c r="T1285" s="6"/>
      <c r="U1285" s="28" t="str">
        <f>HYPERLINK("https://media.infra-m.ru/2132/2132547/cover/2132547.jpg", "Обложка")</f>
        <v>Обложка</v>
      </c>
      <c r="V1285" s="28" t="str">
        <f>HYPERLINK("https://znanium.ru/catalog/product/2132547", "Ознакомиться")</f>
        <v>Ознакомиться</v>
      </c>
      <c r="W1285" s="8" t="s">
        <v>409</v>
      </c>
      <c r="X1285" s="6"/>
      <c r="Y1285" s="6"/>
      <c r="Z1285" s="6"/>
      <c r="AA1285" s="6" t="s">
        <v>650</v>
      </c>
    </row>
    <row r="1286" spans="1:27" s="4" customFormat="1" ht="51.95" customHeight="1">
      <c r="A1286" s="5">
        <v>0</v>
      </c>
      <c r="B1286" s="6" t="s">
        <v>7801</v>
      </c>
      <c r="C1286" s="13">
        <v>594.9</v>
      </c>
      <c r="D1286" s="8" t="s">
        <v>7802</v>
      </c>
      <c r="E1286" s="8" t="s">
        <v>7803</v>
      </c>
      <c r="F1286" s="8" t="s">
        <v>7804</v>
      </c>
      <c r="G1286" s="6" t="s">
        <v>123</v>
      </c>
      <c r="H1286" s="6" t="s">
        <v>528</v>
      </c>
      <c r="I1286" s="8" t="s">
        <v>3805</v>
      </c>
      <c r="J1286" s="9">
        <v>1</v>
      </c>
      <c r="K1286" s="9">
        <v>208</v>
      </c>
      <c r="L1286" s="9">
        <v>2018</v>
      </c>
      <c r="M1286" s="8" t="s">
        <v>7805</v>
      </c>
      <c r="N1286" s="8" t="s">
        <v>74</v>
      </c>
      <c r="O1286" s="8" t="s">
        <v>109</v>
      </c>
      <c r="P1286" s="6" t="s">
        <v>176</v>
      </c>
      <c r="Q1286" s="8" t="s">
        <v>56</v>
      </c>
      <c r="R1286" s="10" t="s">
        <v>7806</v>
      </c>
      <c r="S1286" s="11" t="s">
        <v>7807</v>
      </c>
      <c r="T1286" s="6"/>
      <c r="U1286" s="28" t="str">
        <f>HYPERLINK("https://media.infra-m.ru/0929/0929644/cover/929644.jpg", "Обложка")</f>
        <v>Обложка</v>
      </c>
      <c r="V1286" s="28" t="str">
        <f>HYPERLINK("https://znanium.ru/catalog/product/929644", "Ознакомиться")</f>
        <v>Ознакомиться</v>
      </c>
      <c r="W1286" s="8" t="s">
        <v>3506</v>
      </c>
      <c r="X1286" s="6"/>
      <c r="Y1286" s="6"/>
      <c r="Z1286" s="6"/>
      <c r="AA1286" s="6" t="s">
        <v>2336</v>
      </c>
    </row>
    <row r="1287" spans="1:27" s="4" customFormat="1" ht="44.1" customHeight="1">
      <c r="A1287" s="5">
        <v>0</v>
      </c>
      <c r="B1287" s="6" t="s">
        <v>7808</v>
      </c>
      <c r="C1287" s="13">
        <v>770</v>
      </c>
      <c r="D1287" s="8" t="s">
        <v>7809</v>
      </c>
      <c r="E1287" s="8" t="s">
        <v>7810</v>
      </c>
      <c r="F1287" s="8" t="s">
        <v>7811</v>
      </c>
      <c r="G1287" s="6" t="s">
        <v>37</v>
      </c>
      <c r="H1287" s="6" t="s">
        <v>38</v>
      </c>
      <c r="I1287" s="8" t="s">
        <v>39</v>
      </c>
      <c r="J1287" s="9">
        <v>1</v>
      </c>
      <c r="K1287" s="9">
        <v>152</v>
      </c>
      <c r="L1287" s="9">
        <v>2024</v>
      </c>
      <c r="M1287" s="8" t="s">
        <v>7812</v>
      </c>
      <c r="N1287" s="8" t="s">
        <v>41</v>
      </c>
      <c r="O1287" s="8" t="s">
        <v>54</v>
      </c>
      <c r="P1287" s="6" t="s">
        <v>43</v>
      </c>
      <c r="Q1287" s="8" t="s">
        <v>44</v>
      </c>
      <c r="R1287" s="10" t="s">
        <v>7813</v>
      </c>
      <c r="S1287" s="11"/>
      <c r="T1287" s="6"/>
      <c r="U1287" s="28" t="str">
        <f>HYPERLINK("https://media.infra-m.ru/2151/2151182/cover/2151182.jpg", "Обложка")</f>
        <v>Обложка</v>
      </c>
      <c r="V1287" s="28" t="str">
        <f>HYPERLINK("https://znanium.ru/catalog/product/2151182", "Ознакомиться")</f>
        <v>Ознакомиться</v>
      </c>
      <c r="W1287" s="8" t="s">
        <v>2726</v>
      </c>
      <c r="X1287" s="6"/>
      <c r="Y1287" s="6"/>
      <c r="Z1287" s="6"/>
      <c r="AA1287" s="6" t="s">
        <v>180</v>
      </c>
    </row>
    <row r="1288" spans="1:27" s="4" customFormat="1" ht="51.95" customHeight="1">
      <c r="A1288" s="5">
        <v>0</v>
      </c>
      <c r="B1288" s="6" t="s">
        <v>7814</v>
      </c>
      <c r="C1288" s="7">
        <v>1360</v>
      </c>
      <c r="D1288" s="8" t="s">
        <v>7815</v>
      </c>
      <c r="E1288" s="8" t="s">
        <v>7816</v>
      </c>
      <c r="F1288" s="8" t="s">
        <v>2922</v>
      </c>
      <c r="G1288" s="6" t="s">
        <v>83</v>
      </c>
      <c r="H1288" s="6" t="s">
        <v>38</v>
      </c>
      <c r="I1288" s="8" t="s">
        <v>155</v>
      </c>
      <c r="J1288" s="9">
        <v>1</v>
      </c>
      <c r="K1288" s="9">
        <v>289</v>
      </c>
      <c r="L1288" s="9">
        <v>2024</v>
      </c>
      <c r="M1288" s="8" t="s">
        <v>7817</v>
      </c>
      <c r="N1288" s="8" t="s">
        <v>74</v>
      </c>
      <c r="O1288" s="8" t="s">
        <v>75</v>
      </c>
      <c r="P1288" s="6" t="s">
        <v>55</v>
      </c>
      <c r="Q1288" s="8" t="s">
        <v>56</v>
      </c>
      <c r="R1288" s="10" t="s">
        <v>7818</v>
      </c>
      <c r="S1288" s="11" t="s">
        <v>7819</v>
      </c>
      <c r="T1288" s="6"/>
      <c r="U1288" s="28" t="str">
        <f>HYPERLINK("https://media.infra-m.ru/2058/2058783/cover/2058783.jpg", "Обложка")</f>
        <v>Обложка</v>
      </c>
      <c r="V1288" s="28" t="str">
        <f>HYPERLINK("https://znanium.ru/catalog/product/2058783", "Ознакомиться")</f>
        <v>Ознакомиться</v>
      </c>
      <c r="W1288" s="8" t="s">
        <v>2926</v>
      </c>
      <c r="X1288" s="6"/>
      <c r="Y1288" s="6"/>
      <c r="Z1288" s="6"/>
      <c r="AA1288" s="6" t="s">
        <v>78</v>
      </c>
    </row>
    <row r="1289" spans="1:27" s="4" customFormat="1" ht="42" customHeight="1">
      <c r="A1289" s="5">
        <v>0</v>
      </c>
      <c r="B1289" s="6" t="s">
        <v>7820</v>
      </c>
      <c r="C1289" s="13">
        <v>800</v>
      </c>
      <c r="D1289" s="8" t="s">
        <v>7821</v>
      </c>
      <c r="E1289" s="8" t="s">
        <v>7822</v>
      </c>
      <c r="F1289" s="8" t="s">
        <v>7823</v>
      </c>
      <c r="G1289" s="6" t="s">
        <v>123</v>
      </c>
      <c r="H1289" s="6" t="s">
        <v>38</v>
      </c>
      <c r="I1289" s="8" t="s">
        <v>205</v>
      </c>
      <c r="J1289" s="9">
        <v>1</v>
      </c>
      <c r="K1289" s="9">
        <v>161</v>
      </c>
      <c r="L1289" s="9">
        <v>2024</v>
      </c>
      <c r="M1289" s="8" t="s">
        <v>7824</v>
      </c>
      <c r="N1289" s="8" t="s">
        <v>74</v>
      </c>
      <c r="O1289" s="8" t="s">
        <v>93</v>
      </c>
      <c r="P1289" s="6" t="s">
        <v>176</v>
      </c>
      <c r="Q1289" s="8" t="s">
        <v>207</v>
      </c>
      <c r="R1289" s="10" t="s">
        <v>7825</v>
      </c>
      <c r="S1289" s="11"/>
      <c r="T1289" s="6"/>
      <c r="U1289" s="28" t="str">
        <f>HYPERLINK("https://media.infra-m.ru/1876/1876531/cover/1876531.jpg", "Обложка")</f>
        <v>Обложка</v>
      </c>
      <c r="V1289" s="28" t="str">
        <f>HYPERLINK("https://znanium.ru/catalog/product/1960946", "Ознакомиться")</f>
        <v>Ознакомиться</v>
      </c>
      <c r="W1289" s="8" t="s">
        <v>1740</v>
      </c>
      <c r="X1289" s="6" t="s">
        <v>641</v>
      </c>
      <c r="Y1289" s="6"/>
      <c r="Z1289" s="6"/>
      <c r="AA1289" s="6" t="s">
        <v>1408</v>
      </c>
    </row>
    <row r="1290" spans="1:27" s="4" customFormat="1" ht="51.95" customHeight="1">
      <c r="A1290" s="5">
        <v>0</v>
      </c>
      <c r="B1290" s="6" t="s">
        <v>7826</v>
      </c>
      <c r="C1290" s="13">
        <v>364</v>
      </c>
      <c r="D1290" s="8" t="s">
        <v>7827</v>
      </c>
      <c r="E1290" s="8" t="s">
        <v>7828</v>
      </c>
      <c r="F1290" s="8" t="s">
        <v>2730</v>
      </c>
      <c r="G1290" s="6" t="s">
        <v>37</v>
      </c>
      <c r="H1290" s="6" t="s">
        <v>317</v>
      </c>
      <c r="I1290" s="8" t="s">
        <v>3196</v>
      </c>
      <c r="J1290" s="9">
        <v>1</v>
      </c>
      <c r="K1290" s="9">
        <v>112</v>
      </c>
      <c r="L1290" s="9">
        <v>2023</v>
      </c>
      <c r="M1290" s="8" t="s">
        <v>7829</v>
      </c>
      <c r="N1290" s="8" t="s">
        <v>74</v>
      </c>
      <c r="O1290" s="8" t="s">
        <v>109</v>
      </c>
      <c r="P1290" s="6" t="s">
        <v>55</v>
      </c>
      <c r="Q1290" s="8" t="s">
        <v>56</v>
      </c>
      <c r="R1290" s="10" t="s">
        <v>7830</v>
      </c>
      <c r="S1290" s="11"/>
      <c r="T1290" s="6"/>
      <c r="U1290" s="28" t="str">
        <f>HYPERLINK("https://media.infra-m.ru/1972/1972664/cover/1972664.jpg", "Обложка")</f>
        <v>Обложка</v>
      </c>
      <c r="V1290" s="12"/>
      <c r="W1290" s="8" t="s">
        <v>297</v>
      </c>
      <c r="X1290" s="6"/>
      <c r="Y1290" s="6"/>
      <c r="Z1290" s="6"/>
      <c r="AA1290" s="6" t="s">
        <v>4758</v>
      </c>
    </row>
    <row r="1291" spans="1:27" s="4" customFormat="1" ht="51.95" customHeight="1">
      <c r="A1291" s="5">
        <v>0</v>
      </c>
      <c r="B1291" s="6" t="s">
        <v>7831</v>
      </c>
      <c r="C1291" s="7">
        <v>1334</v>
      </c>
      <c r="D1291" s="8" t="s">
        <v>7832</v>
      </c>
      <c r="E1291" s="8" t="s">
        <v>7833</v>
      </c>
      <c r="F1291" s="8" t="s">
        <v>1109</v>
      </c>
      <c r="G1291" s="6" t="s">
        <v>83</v>
      </c>
      <c r="H1291" s="6" t="s">
        <v>38</v>
      </c>
      <c r="I1291" s="8" t="s">
        <v>164</v>
      </c>
      <c r="J1291" s="9">
        <v>1</v>
      </c>
      <c r="K1291" s="9">
        <v>291</v>
      </c>
      <c r="L1291" s="9">
        <v>2024</v>
      </c>
      <c r="M1291" s="8" t="s">
        <v>7834</v>
      </c>
      <c r="N1291" s="8" t="s">
        <v>74</v>
      </c>
      <c r="O1291" s="8" t="s">
        <v>93</v>
      </c>
      <c r="P1291" s="6" t="s">
        <v>55</v>
      </c>
      <c r="Q1291" s="8" t="s">
        <v>56</v>
      </c>
      <c r="R1291" s="10" t="s">
        <v>7835</v>
      </c>
      <c r="S1291" s="11" t="s">
        <v>7836</v>
      </c>
      <c r="T1291" s="6"/>
      <c r="U1291" s="28" t="str">
        <f>HYPERLINK("https://media.infra-m.ru/2064/2064443/cover/2064443.jpg", "Обложка")</f>
        <v>Обложка</v>
      </c>
      <c r="V1291" s="28" t="str">
        <f>HYPERLINK("https://znanium.ru/catalog/product/2064443", "Ознакомиться")</f>
        <v>Ознакомиться</v>
      </c>
      <c r="W1291" s="8" t="s">
        <v>1111</v>
      </c>
      <c r="X1291" s="6"/>
      <c r="Y1291" s="6"/>
      <c r="Z1291" s="6"/>
      <c r="AA1291" s="6" t="s">
        <v>150</v>
      </c>
    </row>
    <row r="1292" spans="1:27" s="4" customFormat="1" ht="44.1" customHeight="1">
      <c r="A1292" s="5">
        <v>0</v>
      </c>
      <c r="B1292" s="6" t="s">
        <v>7837</v>
      </c>
      <c r="C1292" s="13">
        <v>950</v>
      </c>
      <c r="D1292" s="8" t="s">
        <v>7838</v>
      </c>
      <c r="E1292" s="8" t="s">
        <v>7839</v>
      </c>
      <c r="F1292" s="8" t="s">
        <v>7840</v>
      </c>
      <c r="G1292" s="6" t="s">
        <v>37</v>
      </c>
      <c r="H1292" s="6" t="s">
        <v>38</v>
      </c>
      <c r="I1292" s="8" t="s">
        <v>39</v>
      </c>
      <c r="J1292" s="9">
        <v>1</v>
      </c>
      <c r="K1292" s="9">
        <v>243</v>
      </c>
      <c r="L1292" s="9">
        <v>2022</v>
      </c>
      <c r="M1292" s="8" t="s">
        <v>7841</v>
      </c>
      <c r="N1292" s="8" t="s">
        <v>74</v>
      </c>
      <c r="O1292" s="8" t="s">
        <v>93</v>
      </c>
      <c r="P1292" s="6" t="s">
        <v>43</v>
      </c>
      <c r="Q1292" s="8" t="s">
        <v>44</v>
      </c>
      <c r="R1292" s="10" t="s">
        <v>5907</v>
      </c>
      <c r="S1292" s="11"/>
      <c r="T1292" s="6"/>
      <c r="U1292" s="28" t="str">
        <f>HYPERLINK("https://media.infra-m.ru/1859/1859918/cover/1859918.jpg", "Обложка")</f>
        <v>Обложка</v>
      </c>
      <c r="V1292" s="28" t="str">
        <f>HYPERLINK("https://znanium.ru/catalog/product/1859918", "Ознакомиться")</f>
        <v>Ознакомиться</v>
      </c>
      <c r="W1292" s="8" t="s">
        <v>1028</v>
      </c>
      <c r="X1292" s="6"/>
      <c r="Y1292" s="6"/>
      <c r="Z1292" s="6"/>
      <c r="AA1292" s="6" t="s">
        <v>141</v>
      </c>
    </row>
    <row r="1293" spans="1:27" s="4" customFormat="1" ht="51.95" customHeight="1">
      <c r="A1293" s="5">
        <v>0</v>
      </c>
      <c r="B1293" s="6" t="s">
        <v>7842</v>
      </c>
      <c r="C1293" s="7">
        <v>1910</v>
      </c>
      <c r="D1293" s="8" t="s">
        <v>7843</v>
      </c>
      <c r="E1293" s="8" t="s">
        <v>7844</v>
      </c>
      <c r="F1293" s="8" t="s">
        <v>7845</v>
      </c>
      <c r="G1293" s="6" t="s">
        <v>123</v>
      </c>
      <c r="H1293" s="6" t="s">
        <v>38</v>
      </c>
      <c r="I1293" s="8" t="s">
        <v>155</v>
      </c>
      <c r="J1293" s="9">
        <v>1</v>
      </c>
      <c r="K1293" s="9">
        <v>415</v>
      </c>
      <c r="L1293" s="9">
        <v>2024</v>
      </c>
      <c r="M1293" s="8" t="s">
        <v>7846</v>
      </c>
      <c r="N1293" s="8" t="s">
        <v>74</v>
      </c>
      <c r="O1293" s="8" t="s">
        <v>93</v>
      </c>
      <c r="P1293" s="6" t="s">
        <v>176</v>
      </c>
      <c r="Q1293" s="8" t="s">
        <v>56</v>
      </c>
      <c r="R1293" s="10" t="s">
        <v>7847</v>
      </c>
      <c r="S1293" s="11" t="s">
        <v>7848</v>
      </c>
      <c r="T1293" s="6" t="s">
        <v>190</v>
      </c>
      <c r="U1293" s="28" t="str">
        <f>HYPERLINK("https://media.infra-m.ru/2110/2110944/cover/2110944.jpg", "Обложка")</f>
        <v>Обложка</v>
      </c>
      <c r="V1293" s="28" t="str">
        <f>HYPERLINK("https://znanium.ru/catalog/product/2110944", "Ознакомиться")</f>
        <v>Ознакомиться</v>
      </c>
      <c r="W1293" s="8" t="s">
        <v>2740</v>
      </c>
      <c r="X1293" s="6"/>
      <c r="Y1293" s="6"/>
      <c r="Z1293" s="6"/>
      <c r="AA1293" s="6" t="s">
        <v>7849</v>
      </c>
    </row>
    <row r="1294" spans="1:27" s="4" customFormat="1" ht="51.95" customHeight="1">
      <c r="A1294" s="5">
        <v>0</v>
      </c>
      <c r="B1294" s="6" t="s">
        <v>7850</v>
      </c>
      <c r="C1294" s="13">
        <v>734.9</v>
      </c>
      <c r="D1294" s="8" t="s">
        <v>7851</v>
      </c>
      <c r="E1294" s="8" t="s">
        <v>7852</v>
      </c>
      <c r="F1294" s="8" t="s">
        <v>7853</v>
      </c>
      <c r="G1294" s="6" t="s">
        <v>123</v>
      </c>
      <c r="H1294" s="6" t="s">
        <v>38</v>
      </c>
      <c r="I1294" s="8" t="s">
        <v>164</v>
      </c>
      <c r="J1294" s="9">
        <v>1</v>
      </c>
      <c r="K1294" s="9">
        <v>158</v>
      </c>
      <c r="L1294" s="9">
        <v>2023</v>
      </c>
      <c r="M1294" s="8" t="s">
        <v>7854</v>
      </c>
      <c r="N1294" s="8" t="s">
        <v>74</v>
      </c>
      <c r="O1294" s="8" t="s">
        <v>93</v>
      </c>
      <c r="P1294" s="6" t="s">
        <v>55</v>
      </c>
      <c r="Q1294" s="8" t="s">
        <v>56</v>
      </c>
      <c r="R1294" s="10" t="s">
        <v>7855</v>
      </c>
      <c r="S1294" s="11"/>
      <c r="T1294" s="6"/>
      <c r="U1294" s="28" t="str">
        <f>HYPERLINK("https://media.infra-m.ru/1910/1910624/cover/1910624.jpg", "Обложка")</f>
        <v>Обложка</v>
      </c>
      <c r="V1294" s="28" t="str">
        <f>HYPERLINK("https://znanium.ru/catalog/product/1910624", "Ознакомиться")</f>
        <v>Ознакомиться</v>
      </c>
      <c r="W1294" s="8"/>
      <c r="X1294" s="6"/>
      <c r="Y1294" s="6"/>
      <c r="Z1294" s="6"/>
      <c r="AA1294" s="6" t="s">
        <v>290</v>
      </c>
    </row>
    <row r="1295" spans="1:27" s="4" customFormat="1" ht="51.95" customHeight="1">
      <c r="A1295" s="5">
        <v>0</v>
      </c>
      <c r="B1295" s="6" t="s">
        <v>7856</v>
      </c>
      <c r="C1295" s="7">
        <v>1050</v>
      </c>
      <c r="D1295" s="8" t="s">
        <v>7857</v>
      </c>
      <c r="E1295" s="8" t="s">
        <v>7852</v>
      </c>
      <c r="F1295" s="8" t="s">
        <v>7858</v>
      </c>
      <c r="G1295" s="6" t="s">
        <v>83</v>
      </c>
      <c r="H1295" s="6" t="s">
        <v>317</v>
      </c>
      <c r="I1295" s="8" t="s">
        <v>155</v>
      </c>
      <c r="J1295" s="9">
        <v>1</v>
      </c>
      <c r="K1295" s="9">
        <v>228</v>
      </c>
      <c r="L1295" s="9">
        <v>2024</v>
      </c>
      <c r="M1295" s="8" t="s">
        <v>7859</v>
      </c>
      <c r="N1295" s="8" t="s">
        <v>74</v>
      </c>
      <c r="O1295" s="8" t="s">
        <v>93</v>
      </c>
      <c r="P1295" s="6" t="s">
        <v>55</v>
      </c>
      <c r="Q1295" s="8" t="s">
        <v>177</v>
      </c>
      <c r="R1295" s="10" t="s">
        <v>7860</v>
      </c>
      <c r="S1295" s="11" t="s">
        <v>7861</v>
      </c>
      <c r="T1295" s="6"/>
      <c r="U1295" s="28" t="str">
        <f>HYPERLINK("https://media.infra-m.ru/2107/2107420/cover/2107420.jpg", "Обложка")</f>
        <v>Обложка</v>
      </c>
      <c r="V1295" s="28" t="str">
        <f>HYPERLINK("https://znanium.ru/catalog/product/2107420", "Ознакомиться")</f>
        <v>Ознакомиться</v>
      </c>
      <c r="W1295" s="8"/>
      <c r="X1295" s="6"/>
      <c r="Y1295" s="6"/>
      <c r="Z1295" s="6"/>
      <c r="AA1295" s="6" t="s">
        <v>650</v>
      </c>
    </row>
    <row r="1296" spans="1:27" s="4" customFormat="1" ht="51.95" customHeight="1">
      <c r="A1296" s="5">
        <v>0</v>
      </c>
      <c r="B1296" s="6" t="s">
        <v>7862</v>
      </c>
      <c r="C1296" s="13">
        <v>540</v>
      </c>
      <c r="D1296" s="8" t="s">
        <v>7863</v>
      </c>
      <c r="E1296" s="8" t="s">
        <v>7852</v>
      </c>
      <c r="F1296" s="8" t="s">
        <v>7864</v>
      </c>
      <c r="G1296" s="6" t="s">
        <v>123</v>
      </c>
      <c r="H1296" s="6" t="s">
        <v>38</v>
      </c>
      <c r="I1296" s="8" t="s">
        <v>205</v>
      </c>
      <c r="J1296" s="9">
        <v>1</v>
      </c>
      <c r="K1296" s="9">
        <v>158</v>
      </c>
      <c r="L1296" s="9">
        <v>2020</v>
      </c>
      <c r="M1296" s="8" t="s">
        <v>7865</v>
      </c>
      <c r="N1296" s="8" t="s">
        <v>74</v>
      </c>
      <c r="O1296" s="8" t="s">
        <v>93</v>
      </c>
      <c r="P1296" s="6" t="s">
        <v>55</v>
      </c>
      <c r="Q1296" s="8" t="s">
        <v>207</v>
      </c>
      <c r="R1296" s="10" t="s">
        <v>7866</v>
      </c>
      <c r="S1296" s="11" t="s">
        <v>7867</v>
      </c>
      <c r="T1296" s="6"/>
      <c r="U1296" s="28" t="str">
        <f>HYPERLINK("https://media.infra-m.ru/1087/1087061/cover/1087061.jpg", "Обложка")</f>
        <v>Обложка</v>
      </c>
      <c r="V1296" s="28" t="str">
        <f>HYPERLINK("https://znanium.ru/catalog/product/1087061", "Ознакомиться")</f>
        <v>Ознакомиться</v>
      </c>
      <c r="W1296" s="8"/>
      <c r="X1296" s="6"/>
      <c r="Y1296" s="6"/>
      <c r="Z1296" s="6" t="s">
        <v>235</v>
      </c>
      <c r="AA1296" s="6" t="s">
        <v>141</v>
      </c>
    </row>
    <row r="1297" spans="1:27" s="4" customFormat="1" ht="51.95" customHeight="1">
      <c r="A1297" s="5">
        <v>0</v>
      </c>
      <c r="B1297" s="6" t="s">
        <v>7868</v>
      </c>
      <c r="C1297" s="7">
        <v>1460</v>
      </c>
      <c r="D1297" s="8" t="s">
        <v>7869</v>
      </c>
      <c r="E1297" s="8" t="s">
        <v>7870</v>
      </c>
      <c r="F1297" s="8" t="s">
        <v>7871</v>
      </c>
      <c r="G1297" s="6" t="s">
        <v>83</v>
      </c>
      <c r="H1297" s="6" t="s">
        <v>38</v>
      </c>
      <c r="I1297" s="8" t="s">
        <v>155</v>
      </c>
      <c r="J1297" s="9">
        <v>1</v>
      </c>
      <c r="K1297" s="9">
        <v>317</v>
      </c>
      <c r="L1297" s="9">
        <v>2024</v>
      </c>
      <c r="M1297" s="8" t="s">
        <v>7872</v>
      </c>
      <c r="N1297" s="8" t="s">
        <v>74</v>
      </c>
      <c r="O1297" s="8" t="s">
        <v>109</v>
      </c>
      <c r="P1297" s="6" t="s">
        <v>176</v>
      </c>
      <c r="Q1297" s="8" t="s">
        <v>56</v>
      </c>
      <c r="R1297" s="10" t="s">
        <v>5264</v>
      </c>
      <c r="S1297" s="11" t="s">
        <v>7873</v>
      </c>
      <c r="T1297" s="6" t="s">
        <v>190</v>
      </c>
      <c r="U1297" s="28" t="str">
        <f>HYPERLINK("https://media.infra-m.ru/2107/2107434/cover/2107434.jpg", "Обложка")</f>
        <v>Обложка</v>
      </c>
      <c r="V1297" s="28" t="str">
        <f>HYPERLINK("https://znanium.ru/catalog/product/2107434", "Ознакомиться")</f>
        <v>Ознакомиться</v>
      </c>
      <c r="W1297" s="8" t="s">
        <v>1841</v>
      </c>
      <c r="X1297" s="6"/>
      <c r="Y1297" s="6"/>
      <c r="Z1297" s="6"/>
      <c r="AA1297" s="6" t="s">
        <v>68</v>
      </c>
    </row>
    <row r="1298" spans="1:27" s="4" customFormat="1" ht="51.95" customHeight="1">
      <c r="A1298" s="5">
        <v>0</v>
      </c>
      <c r="B1298" s="6" t="s">
        <v>7874</v>
      </c>
      <c r="C1298" s="13">
        <v>810</v>
      </c>
      <c r="D1298" s="8" t="s">
        <v>7875</v>
      </c>
      <c r="E1298" s="8" t="s">
        <v>7876</v>
      </c>
      <c r="F1298" s="8" t="s">
        <v>7877</v>
      </c>
      <c r="G1298" s="6" t="s">
        <v>123</v>
      </c>
      <c r="H1298" s="6" t="s">
        <v>38</v>
      </c>
      <c r="I1298" s="8" t="s">
        <v>164</v>
      </c>
      <c r="J1298" s="9">
        <v>1</v>
      </c>
      <c r="K1298" s="9">
        <v>207</v>
      </c>
      <c r="L1298" s="9">
        <v>2022</v>
      </c>
      <c r="M1298" s="8" t="s">
        <v>7878</v>
      </c>
      <c r="N1298" s="8" t="s">
        <v>74</v>
      </c>
      <c r="O1298" s="8" t="s">
        <v>109</v>
      </c>
      <c r="P1298" s="6" t="s">
        <v>55</v>
      </c>
      <c r="Q1298" s="8" t="s">
        <v>56</v>
      </c>
      <c r="R1298" s="10" t="s">
        <v>1851</v>
      </c>
      <c r="S1298" s="11" t="s">
        <v>7879</v>
      </c>
      <c r="T1298" s="6"/>
      <c r="U1298" s="28" t="str">
        <f>HYPERLINK("https://media.infra-m.ru/1225/1225037/cover/1225037.jpg", "Обложка")</f>
        <v>Обложка</v>
      </c>
      <c r="V1298" s="28" t="str">
        <f>HYPERLINK("https://znanium.ru/catalog/product/1225037", "Ознакомиться")</f>
        <v>Ознакомиться</v>
      </c>
      <c r="W1298" s="8" t="s">
        <v>2474</v>
      </c>
      <c r="X1298" s="6"/>
      <c r="Y1298" s="6"/>
      <c r="Z1298" s="6"/>
      <c r="AA1298" s="6" t="s">
        <v>78</v>
      </c>
    </row>
    <row r="1299" spans="1:27" s="4" customFormat="1" ht="44.1" customHeight="1">
      <c r="A1299" s="5">
        <v>0</v>
      </c>
      <c r="B1299" s="6" t="s">
        <v>7880</v>
      </c>
      <c r="C1299" s="13">
        <v>860</v>
      </c>
      <c r="D1299" s="8" t="s">
        <v>7881</v>
      </c>
      <c r="E1299" s="8" t="s">
        <v>7882</v>
      </c>
      <c r="F1299" s="8" t="s">
        <v>7883</v>
      </c>
      <c r="G1299" s="6" t="s">
        <v>83</v>
      </c>
      <c r="H1299" s="6" t="s">
        <v>317</v>
      </c>
      <c r="I1299" s="8" t="s">
        <v>39</v>
      </c>
      <c r="J1299" s="9">
        <v>1</v>
      </c>
      <c r="K1299" s="9">
        <v>191</v>
      </c>
      <c r="L1299" s="9">
        <v>2023</v>
      </c>
      <c r="M1299" s="8" t="s">
        <v>7884</v>
      </c>
      <c r="N1299" s="8" t="s">
        <v>41</v>
      </c>
      <c r="O1299" s="8" t="s">
        <v>65</v>
      </c>
      <c r="P1299" s="6" t="s">
        <v>43</v>
      </c>
      <c r="Q1299" s="8" t="s">
        <v>44</v>
      </c>
      <c r="R1299" s="10" t="s">
        <v>7885</v>
      </c>
      <c r="S1299" s="11"/>
      <c r="T1299" s="6"/>
      <c r="U1299" s="28" t="str">
        <f>HYPERLINK("https://media.infra-m.ru/2052/2052400/cover/2052400.jpg", "Обложка")</f>
        <v>Обложка</v>
      </c>
      <c r="V1299" s="12"/>
      <c r="W1299" s="8" t="s">
        <v>4319</v>
      </c>
      <c r="X1299" s="6"/>
      <c r="Y1299" s="6"/>
      <c r="Z1299" s="6"/>
      <c r="AA1299" s="6" t="s">
        <v>103</v>
      </c>
    </row>
    <row r="1300" spans="1:27" s="4" customFormat="1" ht="42" customHeight="1">
      <c r="A1300" s="5">
        <v>0</v>
      </c>
      <c r="B1300" s="6" t="s">
        <v>7886</v>
      </c>
      <c r="C1300" s="7">
        <v>1664</v>
      </c>
      <c r="D1300" s="8" t="s">
        <v>7887</v>
      </c>
      <c r="E1300" s="8" t="s">
        <v>7888</v>
      </c>
      <c r="F1300" s="8" t="s">
        <v>7889</v>
      </c>
      <c r="G1300" s="6" t="s">
        <v>83</v>
      </c>
      <c r="H1300" s="6" t="s">
        <v>38</v>
      </c>
      <c r="I1300" s="8" t="s">
        <v>39</v>
      </c>
      <c r="J1300" s="9">
        <v>1</v>
      </c>
      <c r="K1300" s="9">
        <v>355</v>
      </c>
      <c r="L1300" s="9">
        <v>2024</v>
      </c>
      <c r="M1300" s="8" t="s">
        <v>7890</v>
      </c>
      <c r="N1300" s="8" t="s">
        <v>74</v>
      </c>
      <c r="O1300" s="8" t="s">
        <v>75</v>
      </c>
      <c r="P1300" s="6" t="s">
        <v>43</v>
      </c>
      <c r="Q1300" s="8" t="s">
        <v>44</v>
      </c>
      <c r="R1300" s="10" t="s">
        <v>2097</v>
      </c>
      <c r="S1300" s="11"/>
      <c r="T1300" s="6"/>
      <c r="U1300" s="28" t="str">
        <f>HYPERLINK("https://media.infra-m.ru/2138/2138262/cover/2138262.jpg", "Обложка")</f>
        <v>Обложка</v>
      </c>
      <c r="V1300" s="28" t="str">
        <f>HYPERLINK("https://znanium.ru/catalog/product/2063367", "Ознакомиться")</f>
        <v>Ознакомиться</v>
      </c>
      <c r="W1300" s="8" t="s">
        <v>7891</v>
      </c>
      <c r="X1300" s="6"/>
      <c r="Y1300" s="6"/>
      <c r="Z1300" s="6"/>
      <c r="AA1300" s="6" t="s">
        <v>68</v>
      </c>
    </row>
    <row r="1301" spans="1:27" s="4" customFormat="1" ht="51.95" customHeight="1">
      <c r="A1301" s="5">
        <v>0</v>
      </c>
      <c r="B1301" s="6" t="s">
        <v>7892</v>
      </c>
      <c r="C1301" s="7">
        <v>1514</v>
      </c>
      <c r="D1301" s="8" t="s">
        <v>7893</v>
      </c>
      <c r="E1301" s="8" t="s">
        <v>7894</v>
      </c>
      <c r="F1301" s="8" t="s">
        <v>7895</v>
      </c>
      <c r="G1301" s="6" t="s">
        <v>83</v>
      </c>
      <c r="H1301" s="6" t="s">
        <v>317</v>
      </c>
      <c r="I1301" s="8" t="s">
        <v>5719</v>
      </c>
      <c r="J1301" s="9">
        <v>1</v>
      </c>
      <c r="K1301" s="9">
        <v>331</v>
      </c>
      <c r="L1301" s="9">
        <v>2022</v>
      </c>
      <c r="M1301" s="8" t="s">
        <v>7896</v>
      </c>
      <c r="N1301" s="8" t="s">
        <v>41</v>
      </c>
      <c r="O1301" s="8" t="s">
        <v>42</v>
      </c>
      <c r="P1301" s="6" t="s">
        <v>55</v>
      </c>
      <c r="Q1301" s="8" t="s">
        <v>56</v>
      </c>
      <c r="R1301" s="10" t="s">
        <v>7897</v>
      </c>
      <c r="S1301" s="11"/>
      <c r="T1301" s="6"/>
      <c r="U1301" s="28" t="str">
        <f>HYPERLINK("https://media.infra-m.ru/2110/2110033/cover/2110033.jpg", "Обложка")</f>
        <v>Обложка</v>
      </c>
      <c r="V1301" s="28" t="str">
        <f>HYPERLINK("https://znanium.ru/catalog/product/2110032", "Ознакомиться")</f>
        <v>Ознакомиться</v>
      </c>
      <c r="W1301" s="8" t="s">
        <v>297</v>
      </c>
      <c r="X1301" s="6"/>
      <c r="Y1301" s="6"/>
      <c r="Z1301" s="6"/>
      <c r="AA1301" s="6" t="s">
        <v>4116</v>
      </c>
    </row>
    <row r="1302" spans="1:27" s="4" customFormat="1" ht="42" customHeight="1">
      <c r="A1302" s="5">
        <v>0</v>
      </c>
      <c r="B1302" s="6" t="s">
        <v>7898</v>
      </c>
      <c r="C1302" s="13">
        <v>920</v>
      </c>
      <c r="D1302" s="8" t="s">
        <v>7899</v>
      </c>
      <c r="E1302" s="8" t="s">
        <v>7900</v>
      </c>
      <c r="F1302" s="8" t="s">
        <v>7901</v>
      </c>
      <c r="G1302" s="6" t="s">
        <v>83</v>
      </c>
      <c r="H1302" s="6" t="s">
        <v>618</v>
      </c>
      <c r="I1302" s="8"/>
      <c r="J1302" s="9">
        <v>1</v>
      </c>
      <c r="K1302" s="9">
        <v>204</v>
      </c>
      <c r="L1302" s="9">
        <v>2023</v>
      </c>
      <c r="M1302" s="8" t="s">
        <v>7902</v>
      </c>
      <c r="N1302" s="8" t="s">
        <v>41</v>
      </c>
      <c r="O1302" s="8" t="s">
        <v>1299</v>
      </c>
      <c r="P1302" s="6" t="s">
        <v>43</v>
      </c>
      <c r="Q1302" s="8" t="s">
        <v>44</v>
      </c>
      <c r="R1302" s="10" t="s">
        <v>7903</v>
      </c>
      <c r="S1302" s="11"/>
      <c r="T1302" s="6"/>
      <c r="U1302" s="28" t="str">
        <f>HYPERLINK("https://media.infra-m.ru/2069/2069331/cover/2069331.jpg", "Обложка")</f>
        <v>Обложка</v>
      </c>
      <c r="V1302" s="28" t="str">
        <f>HYPERLINK("https://znanium.ru/catalog/product/1949067", "Ознакомиться")</f>
        <v>Ознакомиться</v>
      </c>
      <c r="W1302" s="8" t="s">
        <v>5925</v>
      </c>
      <c r="X1302" s="6"/>
      <c r="Y1302" s="6"/>
      <c r="Z1302" s="6"/>
      <c r="AA1302" s="6" t="s">
        <v>111</v>
      </c>
    </row>
    <row r="1303" spans="1:27" s="4" customFormat="1" ht="51.95" customHeight="1">
      <c r="A1303" s="5">
        <v>0</v>
      </c>
      <c r="B1303" s="6" t="s">
        <v>7904</v>
      </c>
      <c r="C1303" s="13">
        <v>980</v>
      </c>
      <c r="D1303" s="8" t="s">
        <v>7905</v>
      </c>
      <c r="E1303" s="8" t="s">
        <v>7906</v>
      </c>
      <c r="F1303" s="8" t="s">
        <v>7907</v>
      </c>
      <c r="G1303" s="6" t="s">
        <v>83</v>
      </c>
      <c r="H1303" s="6" t="s">
        <v>38</v>
      </c>
      <c r="I1303" s="8" t="s">
        <v>39</v>
      </c>
      <c r="J1303" s="9">
        <v>1</v>
      </c>
      <c r="K1303" s="9">
        <v>252</v>
      </c>
      <c r="L1303" s="9">
        <v>2022</v>
      </c>
      <c r="M1303" s="8" t="s">
        <v>7908</v>
      </c>
      <c r="N1303" s="8" t="s">
        <v>74</v>
      </c>
      <c r="O1303" s="8" t="s">
        <v>75</v>
      </c>
      <c r="P1303" s="6" t="s">
        <v>43</v>
      </c>
      <c r="Q1303" s="8" t="s">
        <v>44</v>
      </c>
      <c r="R1303" s="10" t="s">
        <v>387</v>
      </c>
      <c r="S1303" s="11"/>
      <c r="T1303" s="6"/>
      <c r="U1303" s="28" t="str">
        <f>HYPERLINK("https://media.infra-m.ru/1858/1858256/cover/1858256.jpg", "Обложка")</f>
        <v>Обложка</v>
      </c>
      <c r="V1303" s="28" t="str">
        <f>HYPERLINK("https://znanium.ru/catalog/product/1858256", "Ознакомиться")</f>
        <v>Ознакомиться</v>
      </c>
      <c r="W1303" s="8" t="s">
        <v>132</v>
      </c>
      <c r="X1303" s="6"/>
      <c r="Y1303" s="6"/>
      <c r="Z1303" s="6"/>
      <c r="AA1303" s="6" t="s">
        <v>312</v>
      </c>
    </row>
    <row r="1304" spans="1:27" s="4" customFormat="1" ht="42" customHeight="1">
      <c r="A1304" s="5">
        <v>0</v>
      </c>
      <c r="B1304" s="6" t="s">
        <v>7909</v>
      </c>
      <c r="C1304" s="7">
        <v>1990</v>
      </c>
      <c r="D1304" s="8" t="s">
        <v>7910</v>
      </c>
      <c r="E1304" s="8" t="s">
        <v>7911</v>
      </c>
      <c r="F1304" s="8" t="s">
        <v>1714</v>
      </c>
      <c r="G1304" s="6" t="s">
        <v>123</v>
      </c>
      <c r="H1304" s="6" t="s">
        <v>38</v>
      </c>
      <c r="I1304" s="8" t="s">
        <v>39</v>
      </c>
      <c r="J1304" s="9">
        <v>1</v>
      </c>
      <c r="K1304" s="9">
        <v>426</v>
      </c>
      <c r="L1304" s="9">
        <v>2023</v>
      </c>
      <c r="M1304" s="8" t="s">
        <v>7912</v>
      </c>
      <c r="N1304" s="8" t="s">
        <v>74</v>
      </c>
      <c r="O1304" s="8" t="s">
        <v>394</v>
      </c>
      <c r="P1304" s="6" t="s">
        <v>43</v>
      </c>
      <c r="Q1304" s="8" t="s">
        <v>44</v>
      </c>
      <c r="R1304" s="10" t="s">
        <v>7913</v>
      </c>
      <c r="S1304" s="11"/>
      <c r="T1304" s="6"/>
      <c r="U1304" s="28" t="str">
        <f>HYPERLINK("https://media.infra-m.ru/1844/1844169/cover/1844169.jpg", "Обложка")</f>
        <v>Обложка</v>
      </c>
      <c r="V1304" s="28" t="str">
        <f>HYPERLINK("https://znanium.ru/catalog/product/1844169", "Ознакомиться")</f>
        <v>Ознакомиться</v>
      </c>
      <c r="W1304" s="8" t="s">
        <v>1717</v>
      </c>
      <c r="X1304" s="6"/>
      <c r="Y1304" s="6"/>
      <c r="Z1304" s="6"/>
      <c r="AA1304" s="6" t="s">
        <v>111</v>
      </c>
    </row>
    <row r="1305" spans="1:27" s="4" customFormat="1" ht="51.95" customHeight="1">
      <c r="A1305" s="5">
        <v>0</v>
      </c>
      <c r="B1305" s="6" t="s">
        <v>7914</v>
      </c>
      <c r="C1305" s="7">
        <v>1734</v>
      </c>
      <c r="D1305" s="8" t="s">
        <v>7915</v>
      </c>
      <c r="E1305" s="8" t="s">
        <v>7916</v>
      </c>
      <c r="F1305" s="8" t="s">
        <v>7917</v>
      </c>
      <c r="G1305" s="6" t="s">
        <v>83</v>
      </c>
      <c r="H1305" s="6" t="s">
        <v>38</v>
      </c>
      <c r="I1305" s="8" t="s">
        <v>155</v>
      </c>
      <c r="J1305" s="9">
        <v>1</v>
      </c>
      <c r="K1305" s="9">
        <v>368</v>
      </c>
      <c r="L1305" s="9">
        <v>2024</v>
      </c>
      <c r="M1305" s="8" t="s">
        <v>7918</v>
      </c>
      <c r="N1305" s="8" t="s">
        <v>41</v>
      </c>
      <c r="O1305" s="8" t="s">
        <v>54</v>
      </c>
      <c r="P1305" s="6" t="s">
        <v>176</v>
      </c>
      <c r="Q1305" s="8" t="s">
        <v>56</v>
      </c>
      <c r="R1305" s="10" t="s">
        <v>7919</v>
      </c>
      <c r="S1305" s="11" t="s">
        <v>7920</v>
      </c>
      <c r="T1305" s="6"/>
      <c r="U1305" s="28" t="str">
        <f>HYPERLINK("https://media.infra-m.ru/2125/2125288/cover/2125288.jpg", "Обложка")</f>
        <v>Обложка</v>
      </c>
      <c r="V1305" s="28" t="str">
        <f>HYPERLINK("https://znanium.ru/catalog/product/2096806", "Ознакомиться")</f>
        <v>Ознакомиться</v>
      </c>
      <c r="W1305" s="8" t="s">
        <v>474</v>
      </c>
      <c r="X1305" s="6"/>
      <c r="Y1305" s="6"/>
      <c r="Z1305" s="6"/>
      <c r="AA1305" s="6" t="s">
        <v>650</v>
      </c>
    </row>
    <row r="1306" spans="1:27" s="4" customFormat="1" ht="51.95" customHeight="1">
      <c r="A1306" s="5">
        <v>0</v>
      </c>
      <c r="B1306" s="6" t="s">
        <v>7921</v>
      </c>
      <c r="C1306" s="7">
        <v>1070</v>
      </c>
      <c r="D1306" s="8" t="s">
        <v>7922</v>
      </c>
      <c r="E1306" s="8" t="s">
        <v>7923</v>
      </c>
      <c r="F1306" s="8" t="s">
        <v>72</v>
      </c>
      <c r="G1306" s="6" t="s">
        <v>37</v>
      </c>
      <c r="H1306" s="6" t="s">
        <v>38</v>
      </c>
      <c r="I1306" s="8" t="s">
        <v>39</v>
      </c>
      <c r="J1306" s="9">
        <v>1</v>
      </c>
      <c r="K1306" s="9">
        <v>231</v>
      </c>
      <c r="L1306" s="9">
        <v>2024</v>
      </c>
      <c r="M1306" s="8" t="s">
        <v>7924</v>
      </c>
      <c r="N1306" s="8" t="s">
        <v>74</v>
      </c>
      <c r="O1306" s="8" t="s">
        <v>75</v>
      </c>
      <c r="P1306" s="6" t="s">
        <v>43</v>
      </c>
      <c r="Q1306" s="8" t="s">
        <v>44</v>
      </c>
      <c r="R1306" s="10" t="s">
        <v>7925</v>
      </c>
      <c r="S1306" s="11"/>
      <c r="T1306" s="6"/>
      <c r="U1306" s="28" t="str">
        <f>HYPERLINK("https://media.infra-m.ru/2120/2120760/cover/2120760.jpg", "Обложка")</f>
        <v>Обложка</v>
      </c>
      <c r="V1306" s="28" t="str">
        <f>HYPERLINK("https://znanium.ru/catalog/product/2120760", "Ознакомиться")</f>
        <v>Ознакомиться</v>
      </c>
      <c r="W1306" s="8" t="s">
        <v>77</v>
      </c>
      <c r="X1306" s="6"/>
      <c r="Y1306" s="6"/>
      <c r="Z1306" s="6"/>
      <c r="AA1306" s="6" t="s">
        <v>103</v>
      </c>
    </row>
    <row r="1307" spans="1:27" s="4" customFormat="1" ht="51.95" customHeight="1">
      <c r="A1307" s="5">
        <v>0</v>
      </c>
      <c r="B1307" s="6" t="s">
        <v>7926</v>
      </c>
      <c r="C1307" s="13">
        <v>750</v>
      </c>
      <c r="D1307" s="8" t="s">
        <v>7927</v>
      </c>
      <c r="E1307" s="8" t="s">
        <v>7928</v>
      </c>
      <c r="F1307" s="8" t="s">
        <v>72</v>
      </c>
      <c r="G1307" s="6" t="s">
        <v>37</v>
      </c>
      <c r="H1307" s="6" t="s">
        <v>38</v>
      </c>
      <c r="I1307" s="8" t="s">
        <v>39</v>
      </c>
      <c r="J1307" s="9">
        <v>1</v>
      </c>
      <c r="K1307" s="9">
        <v>157</v>
      </c>
      <c r="L1307" s="9">
        <v>2023</v>
      </c>
      <c r="M1307" s="8" t="s">
        <v>7929</v>
      </c>
      <c r="N1307" s="8" t="s">
        <v>74</v>
      </c>
      <c r="O1307" s="8" t="s">
        <v>75</v>
      </c>
      <c r="P1307" s="6" t="s">
        <v>43</v>
      </c>
      <c r="Q1307" s="8" t="s">
        <v>44</v>
      </c>
      <c r="R1307" s="10" t="s">
        <v>7930</v>
      </c>
      <c r="S1307" s="11"/>
      <c r="T1307" s="6"/>
      <c r="U1307" s="28" t="str">
        <f>HYPERLINK("https://media.infra-m.ru/1911/1911055/cover/1911055.jpg", "Обложка")</f>
        <v>Обложка</v>
      </c>
      <c r="V1307" s="28" t="str">
        <f>HYPERLINK("https://znanium.ru/catalog/product/1911055", "Ознакомиться")</f>
        <v>Ознакомиться</v>
      </c>
      <c r="W1307" s="8" t="s">
        <v>77</v>
      </c>
      <c r="X1307" s="6"/>
      <c r="Y1307" s="6"/>
      <c r="Z1307" s="6"/>
      <c r="AA1307" s="6" t="s">
        <v>111</v>
      </c>
    </row>
    <row r="1308" spans="1:27" s="4" customFormat="1" ht="42" customHeight="1">
      <c r="A1308" s="5">
        <v>0</v>
      </c>
      <c r="B1308" s="6" t="s">
        <v>7931</v>
      </c>
      <c r="C1308" s="13">
        <v>624</v>
      </c>
      <c r="D1308" s="8" t="s">
        <v>7932</v>
      </c>
      <c r="E1308" s="8" t="s">
        <v>7933</v>
      </c>
      <c r="F1308" s="8" t="s">
        <v>7934</v>
      </c>
      <c r="G1308" s="6" t="s">
        <v>37</v>
      </c>
      <c r="H1308" s="6" t="s">
        <v>38</v>
      </c>
      <c r="I1308" s="8" t="s">
        <v>39</v>
      </c>
      <c r="J1308" s="9">
        <v>1</v>
      </c>
      <c r="K1308" s="9">
        <v>164</v>
      </c>
      <c r="L1308" s="9">
        <v>2021</v>
      </c>
      <c r="M1308" s="8" t="s">
        <v>7935</v>
      </c>
      <c r="N1308" s="8" t="s">
        <v>74</v>
      </c>
      <c r="O1308" s="8" t="s">
        <v>75</v>
      </c>
      <c r="P1308" s="6" t="s">
        <v>43</v>
      </c>
      <c r="Q1308" s="8" t="s">
        <v>44</v>
      </c>
      <c r="R1308" s="10" t="s">
        <v>1034</v>
      </c>
      <c r="S1308" s="11"/>
      <c r="T1308" s="6"/>
      <c r="U1308" s="28" t="str">
        <f>HYPERLINK("https://media.infra-m.ru/2082/2082127/cover/2082127.jpg", "Обложка")</f>
        <v>Обложка</v>
      </c>
      <c r="V1308" s="28" t="str">
        <f>HYPERLINK("https://znanium.ru/catalog/product/1915715", "Ознакомиться")</f>
        <v>Ознакомиться</v>
      </c>
      <c r="W1308" s="8" t="s">
        <v>1764</v>
      </c>
      <c r="X1308" s="6"/>
      <c r="Y1308" s="6"/>
      <c r="Z1308" s="6"/>
      <c r="AA1308" s="6" t="s">
        <v>193</v>
      </c>
    </row>
    <row r="1309" spans="1:27" s="4" customFormat="1" ht="51.95" customHeight="1">
      <c r="A1309" s="5">
        <v>0</v>
      </c>
      <c r="B1309" s="6" t="s">
        <v>7936</v>
      </c>
      <c r="C1309" s="7">
        <v>1360</v>
      </c>
      <c r="D1309" s="8" t="s">
        <v>7937</v>
      </c>
      <c r="E1309" s="8" t="s">
        <v>7938</v>
      </c>
      <c r="F1309" s="8" t="s">
        <v>7939</v>
      </c>
      <c r="G1309" s="6" t="s">
        <v>123</v>
      </c>
      <c r="H1309" s="6" t="s">
        <v>38</v>
      </c>
      <c r="I1309" s="8" t="s">
        <v>39</v>
      </c>
      <c r="J1309" s="9">
        <v>1</v>
      </c>
      <c r="K1309" s="9">
        <v>294</v>
      </c>
      <c r="L1309" s="9">
        <v>2023</v>
      </c>
      <c r="M1309" s="8" t="s">
        <v>7940</v>
      </c>
      <c r="N1309" s="8" t="s">
        <v>74</v>
      </c>
      <c r="O1309" s="8" t="s">
        <v>75</v>
      </c>
      <c r="P1309" s="6" t="s">
        <v>43</v>
      </c>
      <c r="Q1309" s="8" t="s">
        <v>44</v>
      </c>
      <c r="R1309" s="10" t="s">
        <v>7941</v>
      </c>
      <c r="S1309" s="11"/>
      <c r="T1309" s="6"/>
      <c r="U1309" s="28" t="str">
        <f>HYPERLINK("https://media.infra-m.ru/1946/1946199/cover/1946199.jpg", "Обложка")</f>
        <v>Обложка</v>
      </c>
      <c r="V1309" s="28" t="str">
        <f>HYPERLINK("https://znanium.ru/catalog/product/1946199", "Ознакомиться")</f>
        <v>Ознакомиться</v>
      </c>
      <c r="W1309" s="8" t="s">
        <v>341</v>
      </c>
      <c r="X1309" s="6" t="s">
        <v>1997</v>
      </c>
      <c r="Y1309" s="6"/>
      <c r="Z1309" s="6"/>
      <c r="AA1309" s="6" t="s">
        <v>111</v>
      </c>
    </row>
    <row r="1310" spans="1:27" s="4" customFormat="1" ht="44.1" customHeight="1">
      <c r="A1310" s="5">
        <v>0</v>
      </c>
      <c r="B1310" s="6" t="s">
        <v>7942</v>
      </c>
      <c r="C1310" s="13">
        <v>580</v>
      </c>
      <c r="D1310" s="8" t="s">
        <v>7943</v>
      </c>
      <c r="E1310" s="8" t="s">
        <v>7944</v>
      </c>
      <c r="F1310" s="8" t="s">
        <v>7945</v>
      </c>
      <c r="G1310" s="6" t="s">
        <v>37</v>
      </c>
      <c r="H1310" s="6" t="s">
        <v>38</v>
      </c>
      <c r="I1310" s="8" t="s">
        <v>39</v>
      </c>
      <c r="J1310" s="9">
        <v>1</v>
      </c>
      <c r="K1310" s="9">
        <v>124</v>
      </c>
      <c r="L1310" s="9">
        <v>2023</v>
      </c>
      <c r="M1310" s="8" t="s">
        <v>7946</v>
      </c>
      <c r="N1310" s="8" t="s">
        <v>74</v>
      </c>
      <c r="O1310" s="8" t="s">
        <v>75</v>
      </c>
      <c r="P1310" s="6" t="s">
        <v>43</v>
      </c>
      <c r="Q1310" s="8" t="s">
        <v>44</v>
      </c>
      <c r="R1310" s="10" t="s">
        <v>4235</v>
      </c>
      <c r="S1310" s="11"/>
      <c r="T1310" s="6"/>
      <c r="U1310" s="28" t="str">
        <f>HYPERLINK("https://media.infra-m.ru/2126/2126467/cover/2126467.jpg", "Обложка")</f>
        <v>Обложка</v>
      </c>
      <c r="V1310" s="28" t="str">
        <f>HYPERLINK("https://znanium.ru/catalog/product/1914196", "Ознакомиться")</f>
        <v>Ознакомиться</v>
      </c>
      <c r="W1310" s="8" t="s">
        <v>159</v>
      </c>
      <c r="X1310" s="6"/>
      <c r="Y1310" s="6"/>
      <c r="Z1310" s="6"/>
      <c r="AA1310" s="6" t="s">
        <v>290</v>
      </c>
    </row>
    <row r="1311" spans="1:27" s="15" customFormat="1" ht="21.95" customHeight="1"/>
    <row r="1312" spans="1:27" ht="15.95" customHeight="1">
      <c r="A1312" s="25" t="s">
        <v>23</v>
      </c>
      <c r="B1312" s="25"/>
    </row>
    <row r="1313" spans="1:5" s="16" customFormat="1" ht="12.95" customHeight="1"/>
    <row r="1314" spans="1:5" s="16" customFormat="1" ht="12.95" customHeight="1">
      <c r="A1314" s="26" t="s">
        <v>7947</v>
      </c>
      <c r="B1314" s="26"/>
      <c r="C1314" s="26" t="s">
        <v>7948</v>
      </c>
      <c r="D1314" s="26"/>
      <c r="E1314" s="26"/>
    </row>
    <row r="1315" spans="1:5" s="16" customFormat="1" ht="12.95" customHeight="1">
      <c r="A1315" s="26" t="s">
        <v>7949</v>
      </c>
      <c r="B1315" s="26"/>
      <c r="C1315" s="26" t="s">
        <v>7950</v>
      </c>
      <c r="D1315" s="26"/>
      <c r="E1315" s="26"/>
    </row>
    <row r="1316" spans="1:5" s="16" customFormat="1" ht="12.95" customHeight="1">
      <c r="A1316" s="26" t="s">
        <v>7951</v>
      </c>
      <c r="B1316" s="26"/>
      <c r="C1316" s="26" t="s">
        <v>7952</v>
      </c>
      <c r="D1316" s="26"/>
      <c r="E1316" s="26"/>
    </row>
    <row r="1317" spans="1:5" s="16" customFormat="1" ht="12.95" customHeight="1">
      <c r="A1317" s="26" t="s">
        <v>7953</v>
      </c>
      <c r="B1317" s="26"/>
      <c r="C1317" s="26" t="s">
        <v>7954</v>
      </c>
      <c r="D1317" s="26"/>
      <c r="E1317" s="26"/>
    </row>
    <row r="1318" spans="1:5" s="16" customFormat="1" ht="12.95" customHeight="1">
      <c r="A1318" s="26" t="s">
        <v>3846</v>
      </c>
      <c r="B1318" s="26"/>
      <c r="C1318" s="26" t="s">
        <v>7950</v>
      </c>
      <c r="D1318" s="26"/>
      <c r="E1318" s="26"/>
    </row>
    <row r="1319" spans="1:5" s="16" customFormat="1" ht="12.95" customHeight="1">
      <c r="A1319" s="26" t="s">
        <v>7955</v>
      </c>
      <c r="B1319" s="26"/>
      <c r="C1319" s="26" t="s">
        <v>7952</v>
      </c>
      <c r="D1319" s="26"/>
      <c r="E1319" s="26"/>
    </row>
    <row r="1320" spans="1:5" s="16" customFormat="1" ht="12.95" customHeight="1">
      <c r="A1320" s="26" t="s">
        <v>3096</v>
      </c>
      <c r="B1320" s="26"/>
      <c r="C1320" s="26" t="s">
        <v>7956</v>
      </c>
      <c r="D1320" s="26"/>
      <c r="E1320" s="26"/>
    </row>
    <row r="1321" spans="1:5" s="16" customFormat="1" ht="12.95" customHeight="1">
      <c r="A1321" s="26" t="s">
        <v>4422</v>
      </c>
      <c r="B1321" s="26"/>
      <c r="C1321" s="26" t="s">
        <v>7957</v>
      </c>
      <c r="D1321" s="26"/>
      <c r="E1321" s="26"/>
    </row>
    <row r="1322" spans="1:5" s="16" customFormat="1" ht="12.95" customHeight="1">
      <c r="A1322" s="26" t="s">
        <v>4539</v>
      </c>
      <c r="B1322" s="26"/>
      <c r="C1322" s="26" t="s">
        <v>7954</v>
      </c>
      <c r="D1322" s="26"/>
      <c r="E1322" s="26"/>
    </row>
    <row r="1323" spans="1:5" s="16" customFormat="1" ht="12.95" customHeight="1">
      <c r="A1323" s="26" t="s">
        <v>4585</v>
      </c>
      <c r="B1323" s="26"/>
      <c r="C1323" s="26" t="s">
        <v>7958</v>
      </c>
      <c r="D1323" s="26"/>
      <c r="E1323" s="26"/>
    </row>
    <row r="1324" spans="1:5" s="16" customFormat="1" ht="12.95" customHeight="1">
      <c r="A1324" s="26" t="s">
        <v>4034</v>
      </c>
      <c r="B1324" s="26"/>
      <c r="C1324" s="26" t="s">
        <v>7959</v>
      </c>
      <c r="D1324" s="26"/>
      <c r="E1324" s="26"/>
    </row>
    <row r="1325" spans="1:5" s="16" customFormat="1" ht="12.95" customHeight="1">
      <c r="A1325" s="26" t="s">
        <v>7960</v>
      </c>
      <c r="B1325" s="26"/>
      <c r="C1325" s="26" t="s">
        <v>7961</v>
      </c>
      <c r="D1325" s="26"/>
      <c r="E1325" s="26"/>
    </row>
    <row r="1326" spans="1:5" s="16" customFormat="1" ht="12.95" customHeight="1">
      <c r="A1326" s="26" t="s">
        <v>2843</v>
      </c>
      <c r="B1326" s="26"/>
      <c r="C1326" s="26" t="s">
        <v>7962</v>
      </c>
      <c r="D1326" s="26"/>
      <c r="E1326" s="26"/>
    </row>
    <row r="1327" spans="1:5" s="16" customFormat="1" ht="12.95" customHeight="1">
      <c r="A1327" s="26" t="s">
        <v>7963</v>
      </c>
      <c r="B1327" s="26"/>
      <c r="C1327" s="26" t="s">
        <v>7964</v>
      </c>
      <c r="D1327" s="26"/>
      <c r="E1327" s="26"/>
    </row>
    <row r="1328" spans="1:5" s="16" customFormat="1" ht="12.95" customHeight="1">
      <c r="A1328" s="26" t="s">
        <v>681</v>
      </c>
      <c r="B1328" s="26"/>
      <c r="C1328" s="26" t="s">
        <v>7950</v>
      </c>
      <c r="D1328" s="26"/>
      <c r="E1328" s="26"/>
    </row>
    <row r="1329" spans="1:5" s="16" customFormat="1" ht="12.95" customHeight="1">
      <c r="A1329" s="26" t="s">
        <v>7965</v>
      </c>
      <c r="B1329" s="26"/>
      <c r="C1329" s="26" t="s">
        <v>7952</v>
      </c>
      <c r="D1329" s="26"/>
      <c r="E1329" s="26"/>
    </row>
    <row r="1330" spans="1:5" s="16" customFormat="1" ht="12.95" customHeight="1">
      <c r="A1330" s="26" t="s">
        <v>7966</v>
      </c>
      <c r="B1330" s="26"/>
      <c r="C1330" s="26" t="s">
        <v>7967</v>
      </c>
      <c r="D1330" s="26"/>
      <c r="E1330" s="26"/>
    </row>
    <row r="1331" spans="1:5" s="16" customFormat="1" ht="12.95" customHeight="1">
      <c r="A1331" s="26" t="s">
        <v>7968</v>
      </c>
      <c r="B1331" s="26"/>
      <c r="C1331" s="26" t="s">
        <v>7969</v>
      </c>
      <c r="D1331" s="26"/>
      <c r="E1331" s="26"/>
    </row>
    <row r="1332" spans="1:5" s="16" customFormat="1" ht="12.95" customHeight="1">
      <c r="A1332" s="26" t="s">
        <v>57</v>
      </c>
      <c r="B1332" s="26"/>
      <c r="C1332" s="26" t="s">
        <v>7962</v>
      </c>
      <c r="D1332" s="26"/>
      <c r="E1332" s="26"/>
    </row>
    <row r="1333" spans="1:5" s="16" customFormat="1" ht="12.95" customHeight="1">
      <c r="A1333" s="26" t="s">
        <v>7970</v>
      </c>
      <c r="B1333" s="26"/>
      <c r="C1333" s="26" t="s">
        <v>7971</v>
      </c>
      <c r="D1333" s="26"/>
      <c r="E1333" s="26"/>
    </row>
    <row r="1334" spans="1:5" s="16" customFormat="1" ht="12.95" customHeight="1">
      <c r="A1334" s="26" t="s">
        <v>2022</v>
      </c>
      <c r="B1334" s="26"/>
      <c r="C1334" s="26" t="s">
        <v>93</v>
      </c>
      <c r="D1334" s="26"/>
      <c r="E1334" s="26"/>
    </row>
    <row r="1335" spans="1:5" s="16" customFormat="1" ht="12.95" customHeight="1">
      <c r="A1335" s="26" t="s">
        <v>703</v>
      </c>
      <c r="B1335" s="26"/>
      <c r="C1335" s="26" t="s">
        <v>7972</v>
      </c>
      <c r="D1335" s="26"/>
      <c r="E1335" s="26"/>
    </row>
    <row r="1336" spans="1:5" s="16" customFormat="1" ht="12.95" customHeight="1">
      <c r="A1336" s="26" t="s">
        <v>7973</v>
      </c>
      <c r="B1336" s="26"/>
      <c r="C1336" s="26" t="s">
        <v>7974</v>
      </c>
      <c r="D1336" s="26"/>
      <c r="E1336" s="26"/>
    </row>
    <row r="1337" spans="1:5" s="16" customFormat="1" ht="12.95" customHeight="1">
      <c r="A1337" s="26" t="s">
        <v>7975</v>
      </c>
      <c r="B1337" s="26"/>
      <c r="C1337" s="26" t="s">
        <v>7976</v>
      </c>
      <c r="D1337" s="26"/>
      <c r="E1337" s="26"/>
    </row>
    <row r="1338" spans="1:5" s="16" customFormat="1" ht="12.95" customHeight="1">
      <c r="A1338" s="26" t="s">
        <v>7977</v>
      </c>
      <c r="B1338" s="26"/>
      <c r="C1338" s="26" t="s">
        <v>7978</v>
      </c>
      <c r="D1338" s="26"/>
      <c r="E1338" s="26"/>
    </row>
    <row r="1339" spans="1:5" s="16" customFormat="1" ht="12.95" customHeight="1">
      <c r="A1339" s="26" t="s">
        <v>7979</v>
      </c>
      <c r="B1339" s="26"/>
      <c r="C1339" s="26" t="s">
        <v>7980</v>
      </c>
      <c r="D1339" s="26"/>
      <c r="E1339" s="26"/>
    </row>
    <row r="1340" spans="1:5" s="16" customFormat="1" ht="12.95" customHeight="1">
      <c r="A1340" s="26" t="s">
        <v>7981</v>
      </c>
      <c r="B1340" s="26"/>
      <c r="C1340" s="26" t="s">
        <v>7978</v>
      </c>
      <c r="D1340" s="26"/>
      <c r="E1340" s="26"/>
    </row>
    <row r="1341" spans="1:5" s="16" customFormat="1" ht="12.95" customHeight="1">
      <c r="A1341" s="26" t="s">
        <v>7982</v>
      </c>
      <c r="B1341" s="26"/>
      <c r="C1341" s="26" t="s">
        <v>7983</v>
      </c>
      <c r="D1341" s="26"/>
      <c r="E1341" s="26"/>
    </row>
    <row r="1342" spans="1:5" s="16" customFormat="1" ht="12.95" customHeight="1">
      <c r="A1342" s="26" t="s">
        <v>7984</v>
      </c>
      <c r="B1342" s="26"/>
      <c r="C1342" s="26" t="s">
        <v>7950</v>
      </c>
      <c r="D1342" s="26"/>
      <c r="E1342" s="26"/>
    </row>
    <row r="1343" spans="1:5" s="16" customFormat="1" ht="12.95" customHeight="1">
      <c r="A1343" s="26" t="s">
        <v>1117</v>
      </c>
      <c r="B1343" s="26"/>
      <c r="C1343" s="26" t="s">
        <v>7952</v>
      </c>
      <c r="D1343" s="26"/>
      <c r="E1343" s="26"/>
    </row>
    <row r="1344" spans="1:5" s="16" customFormat="1" ht="12.95" customHeight="1">
      <c r="A1344" s="26" t="s">
        <v>7985</v>
      </c>
      <c r="B1344" s="26"/>
      <c r="C1344" s="26" t="s">
        <v>7967</v>
      </c>
      <c r="D1344" s="26"/>
      <c r="E1344" s="26"/>
    </row>
    <row r="1345" spans="1:5" s="16" customFormat="1" ht="12.95" customHeight="1">
      <c r="A1345" s="26" t="s">
        <v>7986</v>
      </c>
      <c r="B1345" s="26"/>
      <c r="C1345" s="26" t="s">
        <v>7969</v>
      </c>
      <c r="D1345" s="26"/>
      <c r="E1345" s="26"/>
    </row>
    <row r="1346" spans="1:5" s="16" customFormat="1" ht="12.95" customHeight="1">
      <c r="A1346" s="26" t="s">
        <v>7987</v>
      </c>
      <c r="B1346" s="26"/>
      <c r="C1346" s="26" t="s">
        <v>7962</v>
      </c>
      <c r="D1346" s="26"/>
      <c r="E1346" s="26"/>
    </row>
    <row r="1347" spans="1:5" s="16" customFormat="1" ht="12.95" customHeight="1">
      <c r="A1347" s="26" t="s">
        <v>7988</v>
      </c>
      <c r="B1347" s="26"/>
      <c r="C1347" s="26" t="s">
        <v>7971</v>
      </c>
      <c r="D1347" s="26"/>
      <c r="E1347" s="26"/>
    </row>
    <row r="1348" spans="1:5" s="16" customFormat="1" ht="12.95" customHeight="1">
      <c r="A1348" s="26" t="s">
        <v>7989</v>
      </c>
      <c r="B1348" s="26"/>
      <c r="C1348" s="26" t="s">
        <v>93</v>
      </c>
      <c r="D1348" s="26"/>
      <c r="E1348" s="26"/>
    </row>
    <row r="1349" spans="1:5" s="16" customFormat="1" ht="12.95" customHeight="1">
      <c r="A1349" s="26" t="s">
        <v>7990</v>
      </c>
      <c r="B1349" s="26"/>
      <c r="C1349" s="26" t="s">
        <v>7976</v>
      </c>
      <c r="D1349" s="26"/>
      <c r="E1349" s="26"/>
    </row>
    <row r="1350" spans="1:5" s="16" customFormat="1" ht="12.95" customHeight="1">
      <c r="A1350" s="26" t="s">
        <v>7991</v>
      </c>
      <c r="B1350" s="26"/>
      <c r="C1350" s="26" t="s">
        <v>7978</v>
      </c>
      <c r="D1350" s="26"/>
      <c r="E1350" s="26"/>
    </row>
    <row r="1351" spans="1:5" s="16" customFormat="1" ht="12.95" customHeight="1">
      <c r="A1351" s="26" t="s">
        <v>7992</v>
      </c>
      <c r="B1351" s="26"/>
      <c r="C1351" s="26" t="s">
        <v>7980</v>
      </c>
      <c r="D1351" s="26"/>
      <c r="E1351" s="26"/>
    </row>
    <row r="1352" spans="1:5" s="16" customFormat="1" ht="12.95" customHeight="1">
      <c r="A1352" s="26" t="s">
        <v>7993</v>
      </c>
      <c r="B1352" s="26"/>
      <c r="C1352" s="26" t="s">
        <v>7994</v>
      </c>
      <c r="D1352" s="26"/>
      <c r="E1352" s="26"/>
    </row>
    <row r="1353" spans="1:5" s="16" customFormat="1" ht="12.95" customHeight="1">
      <c r="A1353" s="26" t="s">
        <v>7995</v>
      </c>
      <c r="B1353" s="26"/>
      <c r="C1353" s="26" t="s">
        <v>7996</v>
      </c>
      <c r="D1353" s="26"/>
      <c r="E1353" s="26"/>
    </row>
    <row r="1354" spans="1:5" s="16" customFormat="1" ht="12.95" customHeight="1">
      <c r="A1354" s="26" t="s">
        <v>7997</v>
      </c>
      <c r="B1354" s="26"/>
      <c r="C1354" s="26" t="s">
        <v>7998</v>
      </c>
      <c r="D1354" s="26"/>
      <c r="E1354" s="26"/>
    </row>
    <row r="1355" spans="1:5" s="16" customFormat="1" ht="12.95" customHeight="1">
      <c r="A1355" s="26" t="s">
        <v>7999</v>
      </c>
      <c r="B1355" s="26"/>
      <c r="C1355" s="26" t="s">
        <v>8000</v>
      </c>
      <c r="D1355" s="26"/>
      <c r="E1355" s="26"/>
    </row>
    <row r="1356" spans="1:5" s="16" customFormat="1" ht="12.95" customHeight="1">
      <c r="A1356" s="26" t="s">
        <v>8001</v>
      </c>
      <c r="B1356" s="26"/>
      <c r="C1356" s="26" t="s">
        <v>7998</v>
      </c>
      <c r="D1356" s="26"/>
      <c r="E1356" s="26"/>
    </row>
    <row r="1357" spans="1:5" s="16" customFormat="1" ht="12.95" customHeight="1">
      <c r="A1357" s="26" t="s">
        <v>8002</v>
      </c>
      <c r="B1357" s="26"/>
      <c r="C1357" s="26" t="s">
        <v>8000</v>
      </c>
      <c r="D1357" s="26"/>
      <c r="E1357" s="26"/>
    </row>
    <row r="1358" spans="1:5" s="16" customFormat="1" ht="12.95" customHeight="1">
      <c r="A1358" s="26" t="s">
        <v>8003</v>
      </c>
      <c r="B1358" s="26"/>
      <c r="C1358" s="26" t="s">
        <v>8004</v>
      </c>
      <c r="D1358" s="26"/>
      <c r="E1358" s="26"/>
    </row>
    <row r="1359" spans="1:5" s="16" customFormat="1" ht="12.95" customHeight="1">
      <c r="A1359" s="26" t="s">
        <v>8005</v>
      </c>
      <c r="B1359" s="26"/>
      <c r="C1359" s="26" t="s">
        <v>8006</v>
      </c>
      <c r="D1359" s="26"/>
      <c r="E1359" s="26"/>
    </row>
    <row r="1360" spans="1:5" s="16" customFormat="1" ht="12.95" customHeight="1">
      <c r="A1360" s="26" t="s">
        <v>8007</v>
      </c>
      <c r="B1360" s="26"/>
      <c r="C1360" s="26" t="s">
        <v>8008</v>
      </c>
      <c r="D1360" s="26"/>
      <c r="E1360" s="26"/>
    </row>
    <row r="1361" spans="1:5" s="16" customFormat="1" ht="12.95" customHeight="1">
      <c r="A1361" s="26" t="s">
        <v>8009</v>
      </c>
      <c r="B1361" s="26"/>
      <c r="C1361" s="26" t="s">
        <v>8010</v>
      </c>
      <c r="D1361" s="26"/>
      <c r="E1361" s="26"/>
    </row>
    <row r="1362" spans="1:5" s="16" customFormat="1" ht="12.95" customHeight="1">
      <c r="A1362" s="26" t="s">
        <v>8011</v>
      </c>
      <c r="B1362" s="26"/>
      <c r="C1362" s="26" t="s">
        <v>8012</v>
      </c>
      <c r="D1362" s="26"/>
      <c r="E1362" s="26"/>
    </row>
    <row r="1363" spans="1:5" s="16" customFormat="1" ht="12.95" customHeight="1">
      <c r="A1363" s="26" t="s">
        <v>8013</v>
      </c>
      <c r="B1363" s="26"/>
      <c r="C1363" s="26" t="s">
        <v>8014</v>
      </c>
      <c r="D1363" s="26"/>
      <c r="E1363" s="26"/>
    </row>
    <row r="1364" spans="1:5" s="16" customFormat="1" ht="12.95" customHeight="1">
      <c r="A1364" s="26" t="s">
        <v>8015</v>
      </c>
      <c r="B1364" s="26"/>
      <c r="C1364" s="26" t="s">
        <v>8004</v>
      </c>
      <c r="D1364" s="26"/>
      <c r="E1364" s="26"/>
    </row>
    <row r="1365" spans="1:5" s="16" customFormat="1" ht="12.95" customHeight="1">
      <c r="A1365" s="26" t="s">
        <v>8016</v>
      </c>
      <c r="B1365" s="26"/>
      <c r="C1365" s="26" t="s">
        <v>8012</v>
      </c>
      <c r="D1365" s="26"/>
      <c r="E1365" s="26"/>
    </row>
    <row r="1366" spans="1:5" s="16" customFormat="1" ht="12.95" customHeight="1">
      <c r="A1366" s="26" t="s">
        <v>8017</v>
      </c>
      <c r="B1366" s="26"/>
      <c r="C1366" s="26" t="s">
        <v>8014</v>
      </c>
      <c r="D1366" s="26"/>
      <c r="E1366" s="26"/>
    </row>
    <row r="1367" spans="1:5" s="16" customFormat="1" ht="12.95" customHeight="1">
      <c r="A1367" s="26" t="s">
        <v>8018</v>
      </c>
      <c r="B1367" s="26"/>
      <c r="C1367" s="26" t="s">
        <v>8019</v>
      </c>
      <c r="D1367" s="26"/>
      <c r="E1367" s="26"/>
    </row>
    <row r="1368" spans="1:5" s="16" customFormat="1" ht="12.95" customHeight="1">
      <c r="A1368" s="26" t="s">
        <v>8020</v>
      </c>
      <c r="B1368" s="26"/>
      <c r="C1368" s="26" t="s">
        <v>8019</v>
      </c>
      <c r="D1368" s="26"/>
      <c r="E1368" s="26"/>
    </row>
    <row r="1369" spans="1:5" s="16" customFormat="1" ht="12.95" customHeight="1">
      <c r="A1369" s="26" t="s">
        <v>8021</v>
      </c>
      <c r="B1369" s="26"/>
      <c r="C1369" s="26" t="s">
        <v>8022</v>
      </c>
      <c r="D1369" s="26"/>
      <c r="E1369" s="26"/>
    </row>
    <row r="1370" spans="1:5" s="16" customFormat="1" ht="12.95" customHeight="1">
      <c r="A1370" s="26" t="s">
        <v>8023</v>
      </c>
      <c r="B1370" s="26"/>
      <c r="C1370" s="26" t="s">
        <v>8000</v>
      </c>
      <c r="D1370" s="26"/>
      <c r="E1370" s="26"/>
    </row>
    <row r="1371" spans="1:5" s="16" customFormat="1" ht="12.95" customHeight="1">
      <c r="A1371" s="26" t="s">
        <v>8024</v>
      </c>
      <c r="B1371" s="26"/>
      <c r="C1371" s="26" t="s">
        <v>8025</v>
      </c>
      <c r="D1371" s="26"/>
      <c r="E1371" s="26"/>
    </row>
    <row r="1372" spans="1:5" s="16" customFormat="1" ht="12.95" customHeight="1">
      <c r="A1372" s="26" t="s">
        <v>8026</v>
      </c>
      <c r="B1372" s="26"/>
      <c r="C1372" s="26" t="s">
        <v>8027</v>
      </c>
      <c r="D1372" s="26"/>
      <c r="E1372" s="26"/>
    </row>
    <row r="1373" spans="1:5" s="16" customFormat="1" ht="12.95" customHeight="1">
      <c r="A1373" s="26" t="s">
        <v>8028</v>
      </c>
      <c r="B1373" s="26"/>
      <c r="C1373" s="26" t="s">
        <v>8029</v>
      </c>
      <c r="D1373" s="26"/>
      <c r="E1373" s="26"/>
    </row>
    <row r="1374" spans="1:5" s="16" customFormat="1" ht="12.95" customHeight="1">
      <c r="A1374" s="26" t="s">
        <v>8030</v>
      </c>
      <c r="B1374" s="26"/>
      <c r="C1374" s="26" t="s">
        <v>8031</v>
      </c>
      <c r="D1374" s="26"/>
      <c r="E1374" s="26"/>
    </row>
    <row r="1375" spans="1:5" s="16" customFormat="1" ht="12.95" customHeight="1">
      <c r="A1375" s="26" t="s">
        <v>8032</v>
      </c>
      <c r="B1375" s="26"/>
      <c r="C1375" s="26" t="s">
        <v>8033</v>
      </c>
      <c r="D1375" s="26"/>
      <c r="E1375" s="26"/>
    </row>
    <row r="1376" spans="1:5" s="16" customFormat="1" ht="12.95" customHeight="1">
      <c r="A1376" s="26" t="s">
        <v>8034</v>
      </c>
      <c r="B1376" s="26"/>
      <c r="C1376" s="26" t="s">
        <v>8035</v>
      </c>
      <c r="D1376" s="26"/>
      <c r="E1376" s="26"/>
    </row>
    <row r="1377" spans="1:5" s="16" customFormat="1" ht="12.95" customHeight="1">
      <c r="A1377" s="26" t="s">
        <v>8036</v>
      </c>
      <c r="B1377" s="26"/>
      <c r="C1377" s="26" t="s">
        <v>8035</v>
      </c>
      <c r="D1377" s="26"/>
      <c r="E1377" s="26"/>
    </row>
    <row r="1378" spans="1:5" s="16" customFormat="1" ht="12.95" customHeight="1">
      <c r="A1378" s="26" t="s">
        <v>8037</v>
      </c>
      <c r="B1378" s="26"/>
      <c r="C1378" s="26" t="s">
        <v>8038</v>
      </c>
      <c r="D1378" s="26"/>
      <c r="E1378" s="26"/>
    </row>
    <row r="1379" spans="1:5" s="16" customFormat="1" ht="12.95" customHeight="1">
      <c r="A1379" s="26" t="s">
        <v>8039</v>
      </c>
      <c r="B1379" s="26"/>
      <c r="C1379" s="26" t="s">
        <v>8040</v>
      </c>
      <c r="D1379" s="26"/>
      <c r="E1379" s="26"/>
    </row>
    <row r="1380" spans="1:5" s="16" customFormat="1" ht="12.95" customHeight="1">
      <c r="A1380" s="26" t="s">
        <v>8041</v>
      </c>
      <c r="B1380" s="26"/>
      <c r="C1380" s="26" t="s">
        <v>8042</v>
      </c>
      <c r="D1380" s="26"/>
      <c r="E1380" s="26"/>
    </row>
    <row r="1381" spans="1:5" s="16" customFormat="1" ht="12.95" customHeight="1">
      <c r="A1381" s="26" t="s">
        <v>8043</v>
      </c>
      <c r="B1381" s="26"/>
      <c r="C1381" s="26" t="s">
        <v>8044</v>
      </c>
      <c r="D1381" s="26"/>
      <c r="E1381" s="26"/>
    </row>
    <row r="1382" spans="1:5" s="16" customFormat="1" ht="12.95" customHeight="1">
      <c r="A1382" s="26" t="s">
        <v>8045</v>
      </c>
      <c r="B1382" s="26"/>
      <c r="C1382" s="26" t="s">
        <v>8046</v>
      </c>
      <c r="D1382" s="26"/>
      <c r="E1382" s="26"/>
    </row>
    <row r="1383" spans="1:5" s="16" customFormat="1" ht="12.95" customHeight="1">
      <c r="A1383" s="26" t="s">
        <v>8047</v>
      </c>
      <c r="B1383" s="26"/>
      <c r="C1383" s="26" t="s">
        <v>8048</v>
      </c>
      <c r="D1383" s="26"/>
      <c r="E1383" s="26"/>
    </row>
    <row r="1384" spans="1:5" s="16" customFormat="1" ht="12.95" customHeight="1">
      <c r="A1384" s="26" t="s">
        <v>8049</v>
      </c>
      <c r="B1384" s="26"/>
      <c r="C1384" s="26" t="s">
        <v>8050</v>
      </c>
      <c r="D1384" s="26"/>
      <c r="E1384" s="26"/>
    </row>
    <row r="1385" spans="1:5" s="16" customFormat="1" ht="12.95" customHeight="1">
      <c r="A1385" s="26" t="s">
        <v>8051</v>
      </c>
      <c r="B1385" s="26"/>
      <c r="C1385" s="26" t="s">
        <v>8044</v>
      </c>
      <c r="D1385" s="26"/>
      <c r="E1385" s="26"/>
    </row>
    <row r="1386" spans="1:5" s="16" customFormat="1" ht="12.95" customHeight="1">
      <c r="A1386" s="26" t="s">
        <v>8052</v>
      </c>
      <c r="B1386" s="26"/>
      <c r="C1386" s="26" t="s">
        <v>8050</v>
      </c>
      <c r="D1386" s="26"/>
      <c r="E1386" s="26"/>
    </row>
    <row r="1387" spans="1:5" s="16" customFormat="1" ht="12.95" customHeight="1">
      <c r="A1387" s="26" t="s">
        <v>8053</v>
      </c>
      <c r="B1387" s="26"/>
      <c r="C1387" s="26" t="s">
        <v>8054</v>
      </c>
      <c r="D1387" s="26"/>
      <c r="E1387" s="26"/>
    </row>
    <row r="1388" spans="1:5" s="16" customFormat="1" ht="12.95" customHeight="1">
      <c r="A1388" s="26" t="s">
        <v>8055</v>
      </c>
      <c r="B1388" s="26"/>
      <c r="C1388" s="26" t="s">
        <v>8056</v>
      </c>
      <c r="D1388" s="26"/>
      <c r="E1388" s="26"/>
    </row>
    <row r="1389" spans="1:5" s="16" customFormat="1" ht="12.95" customHeight="1">
      <c r="A1389" s="26" t="s">
        <v>8057</v>
      </c>
      <c r="B1389" s="26"/>
      <c r="C1389" s="26" t="s">
        <v>8058</v>
      </c>
      <c r="D1389" s="26"/>
      <c r="E1389" s="26"/>
    </row>
    <row r="1390" spans="1:5" s="16" customFormat="1" ht="12.95" customHeight="1">
      <c r="A1390" s="26" t="s">
        <v>8059</v>
      </c>
      <c r="B1390" s="26"/>
      <c r="C1390" s="26" t="s">
        <v>8060</v>
      </c>
      <c r="D1390" s="26"/>
      <c r="E1390" s="26"/>
    </row>
    <row r="1391" spans="1:5" s="16" customFormat="1" ht="12.95" customHeight="1">
      <c r="A1391" s="26" t="s">
        <v>8061</v>
      </c>
      <c r="B1391" s="26"/>
      <c r="C1391" s="26" t="s">
        <v>8058</v>
      </c>
      <c r="D1391" s="26"/>
      <c r="E1391" s="26"/>
    </row>
    <row r="1392" spans="1:5" s="16" customFormat="1" ht="12.95" customHeight="1">
      <c r="A1392" s="26" t="s">
        <v>8062</v>
      </c>
      <c r="B1392" s="26"/>
      <c r="C1392" s="26" t="s">
        <v>8063</v>
      </c>
      <c r="D1392" s="26"/>
      <c r="E1392" s="26"/>
    </row>
    <row r="1393" spans="1:5" s="16" customFormat="1" ht="12.95" customHeight="1">
      <c r="A1393" s="26" t="s">
        <v>8064</v>
      </c>
      <c r="B1393" s="26"/>
      <c r="C1393" s="26" t="s">
        <v>8063</v>
      </c>
      <c r="D1393" s="26"/>
      <c r="E1393" s="26"/>
    </row>
    <row r="1394" spans="1:5" s="16" customFormat="1" ht="12.95" customHeight="1">
      <c r="A1394" s="26" t="s">
        <v>8065</v>
      </c>
      <c r="B1394" s="26"/>
      <c r="C1394" s="26" t="s">
        <v>8066</v>
      </c>
      <c r="D1394" s="26"/>
      <c r="E1394" s="26"/>
    </row>
    <row r="1395" spans="1:5" s="16" customFormat="1" ht="12.95" customHeight="1">
      <c r="A1395" s="26" t="s">
        <v>2108</v>
      </c>
      <c r="B1395" s="26"/>
      <c r="C1395" s="26" t="s">
        <v>8067</v>
      </c>
      <c r="D1395" s="26"/>
      <c r="E1395" s="26"/>
    </row>
    <row r="1396" spans="1:5" s="16" customFormat="1" ht="12.95" customHeight="1">
      <c r="A1396" s="26" t="s">
        <v>1062</v>
      </c>
      <c r="B1396" s="26"/>
      <c r="C1396" s="26" t="s">
        <v>8067</v>
      </c>
      <c r="D1396" s="26"/>
      <c r="E1396" s="26"/>
    </row>
    <row r="1397" spans="1:5" s="16" customFormat="1" ht="12.95" customHeight="1">
      <c r="A1397" s="26" t="s">
        <v>8068</v>
      </c>
      <c r="B1397" s="26"/>
      <c r="C1397" s="26" t="s">
        <v>8069</v>
      </c>
      <c r="D1397" s="26"/>
      <c r="E1397" s="26"/>
    </row>
    <row r="1398" spans="1:5" s="16" customFormat="1" ht="12.95" customHeight="1">
      <c r="A1398" s="26" t="s">
        <v>8070</v>
      </c>
      <c r="B1398" s="26"/>
      <c r="C1398" s="26" t="s">
        <v>8071</v>
      </c>
      <c r="D1398" s="26"/>
      <c r="E1398" s="26"/>
    </row>
    <row r="1399" spans="1:5" s="16" customFormat="1" ht="12.95" customHeight="1">
      <c r="A1399" s="26" t="s">
        <v>8072</v>
      </c>
      <c r="B1399" s="26"/>
      <c r="C1399" s="26" t="s">
        <v>8073</v>
      </c>
      <c r="D1399" s="26"/>
      <c r="E1399" s="26"/>
    </row>
    <row r="1400" spans="1:5" s="16" customFormat="1" ht="12.95" customHeight="1">
      <c r="A1400" s="26" t="s">
        <v>8074</v>
      </c>
      <c r="B1400" s="26"/>
      <c r="C1400" s="26" t="s">
        <v>8067</v>
      </c>
      <c r="D1400" s="26"/>
      <c r="E1400" s="26"/>
    </row>
    <row r="1401" spans="1:5" s="16" customFormat="1" ht="12.95" customHeight="1">
      <c r="A1401" s="26" t="s">
        <v>8075</v>
      </c>
      <c r="B1401" s="26"/>
      <c r="C1401" s="26" t="s">
        <v>8069</v>
      </c>
      <c r="D1401" s="26"/>
      <c r="E1401" s="26"/>
    </row>
    <row r="1402" spans="1:5" s="16" customFormat="1" ht="12.95" customHeight="1">
      <c r="A1402" s="26" t="s">
        <v>8076</v>
      </c>
      <c r="B1402" s="26"/>
      <c r="C1402" s="26" t="s">
        <v>8071</v>
      </c>
      <c r="D1402" s="26"/>
      <c r="E1402" s="26"/>
    </row>
    <row r="1403" spans="1:5" s="16" customFormat="1" ht="12.95" customHeight="1">
      <c r="A1403" s="26" t="s">
        <v>8077</v>
      </c>
      <c r="B1403" s="26"/>
      <c r="C1403" s="26" t="s">
        <v>8073</v>
      </c>
      <c r="D1403" s="26"/>
      <c r="E1403" s="26"/>
    </row>
    <row r="1404" spans="1:5" s="16" customFormat="1" ht="12.95" customHeight="1">
      <c r="A1404" s="26" t="s">
        <v>8078</v>
      </c>
      <c r="B1404" s="26"/>
      <c r="C1404" s="26" t="s">
        <v>8067</v>
      </c>
      <c r="D1404" s="26"/>
      <c r="E1404" s="26"/>
    </row>
    <row r="1405" spans="1:5" s="16" customFormat="1" ht="12.95" customHeight="1">
      <c r="A1405" s="26" t="s">
        <v>8079</v>
      </c>
      <c r="B1405" s="26"/>
      <c r="C1405" s="26" t="s">
        <v>8067</v>
      </c>
      <c r="D1405" s="26"/>
      <c r="E1405" s="26"/>
    </row>
    <row r="1406" spans="1:5" s="16" customFormat="1" ht="12.95" customHeight="1">
      <c r="A1406" s="26" t="s">
        <v>8080</v>
      </c>
      <c r="B1406" s="26"/>
      <c r="C1406" s="26" t="s">
        <v>8067</v>
      </c>
      <c r="D1406" s="26"/>
      <c r="E1406" s="26"/>
    </row>
    <row r="1407" spans="1:5" s="16" customFormat="1" ht="12.95" customHeight="1">
      <c r="A1407" s="26" t="s">
        <v>8081</v>
      </c>
      <c r="B1407" s="26"/>
      <c r="C1407" s="26" t="s">
        <v>8069</v>
      </c>
      <c r="D1407" s="26"/>
      <c r="E1407" s="26"/>
    </row>
    <row r="1408" spans="1:5" s="16" customFormat="1" ht="12.95" customHeight="1">
      <c r="A1408" s="26" t="s">
        <v>8082</v>
      </c>
      <c r="B1408" s="26"/>
      <c r="C1408" s="26" t="s">
        <v>8071</v>
      </c>
      <c r="D1408" s="26"/>
      <c r="E1408" s="26"/>
    </row>
    <row r="1409" spans="1:5" s="16" customFormat="1" ht="12.95" customHeight="1">
      <c r="A1409" s="26" t="s">
        <v>8083</v>
      </c>
      <c r="B1409" s="26"/>
      <c r="C1409" s="26" t="s">
        <v>8073</v>
      </c>
      <c r="D1409" s="26"/>
      <c r="E1409" s="26"/>
    </row>
    <row r="1410" spans="1:5" s="16" customFormat="1" ht="12.95" customHeight="1">
      <c r="A1410" s="26" t="s">
        <v>8084</v>
      </c>
      <c r="B1410" s="26"/>
      <c r="C1410" s="26" t="s">
        <v>8085</v>
      </c>
      <c r="D1410" s="26"/>
      <c r="E1410" s="26"/>
    </row>
    <row r="1411" spans="1:5" s="16" customFormat="1" ht="12.95" customHeight="1">
      <c r="A1411" s="26" t="s">
        <v>8086</v>
      </c>
      <c r="B1411" s="26"/>
      <c r="C1411" s="26" t="s">
        <v>8087</v>
      </c>
      <c r="D1411" s="26"/>
      <c r="E1411" s="26"/>
    </row>
    <row r="1412" spans="1:5" s="16" customFormat="1" ht="12.95" customHeight="1">
      <c r="A1412" s="26" t="s">
        <v>8088</v>
      </c>
      <c r="B1412" s="26"/>
      <c r="C1412" s="26" t="s">
        <v>8089</v>
      </c>
      <c r="D1412" s="26"/>
      <c r="E1412" s="26"/>
    </row>
    <row r="1413" spans="1:5" s="16" customFormat="1" ht="12.95" customHeight="1">
      <c r="A1413" s="26" t="s">
        <v>8090</v>
      </c>
      <c r="B1413" s="26"/>
      <c r="C1413" s="26" t="s">
        <v>8091</v>
      </c>
      <c r="D1413" s="26"/>
      <c r="E1413" s="26"/>
    </row>
    <row r="1414" spans="1:5" s="16" customFormat="1" ht="12.95" customHeight="1">
      <c r="A1414" s="26" t="s">
        <v>8092</v>
      </c>
      <c r="B1414" s="26"/>
      <c r="C1414" s="26" t="s">
        <v>8093</v>
      </c>
      <c r="D1414" s="26"/>
      <c r="E1414" s="26"/>
    </row>
    <row r="1415" spans="1:5" s="16" customFormat="1" ht="12.95" customHeight="1">
      <c r="A1415" s="26" t="s">
        <v>8094</v>
      </c>
      <c r="B1415" s="26"/>
      <c r="C1415" s="26" t="s">
        <v>8095</v>
      </c>
      <c r="D1415" s="26"/>
      <c r="E1415" s="26"/>
    </row>
    <row r="1416" spans="1:5" s="16" customFormat="1" ht="12.95" customHeight="1">
      <c r="A1416" s="26" t="s">
        <v>8096</v>
      </c>
      <c r="B1416" s="26"/>
      <c r="C1416" s="26" t="s">
        <v>8097</v>
      </c>
      <c r="D1416" s="26"/>
      <c r="E1416" s="26"/>
    </row>
    <row r="1417" spans="1:5" s="16" customFormat="1" ht="12.95" customHeight="1">
      <c r="A1417" s="26" t="s">
        <v>8098</v>
      </c>
      <c r="B1417" s="26"/>
      <c r="C1417" s="26" t="s">
        <v>8099</v>
      </c>
      <c r="D1417" s="26"/>
      <c r="E1417" s="26"/>
    </row>
    <row r="1418" spans="1:5" s="16" customFormat="1" ht="12.95" customHeight="1">
      <c r="A1418" s="26" t="s">
        <v>8100</v>
      </c>
      <c r="B1418" s="26"/>
      <c r="C1418" s="26" t="s">
        <v>8101</v>
      </c>
      <c r="D1418" s="26"/>
      <c r="E1418" s="26"/>
    </row>
    <row r="1419" spans="1:5" s="16" customFormat="1" ht="12.95" customHeight="1">
      <c r="A1419" s="26" t="s">
        <v>8102</v>
      </c>
      <c r="B1419" s="26"/>
      <c r="C1419" s="26" t="s">
        <v>8103</v>
      </c>
      <c r="D1419" s="26"/>
      <c r="E1419" s="26"/>
    </row>
    <row r="1420" spans="1:5" s="16" customFormat="1" ht="12.95" customHeight="1">
      <c r="A1420" s="26" t="s">
        <v>8104</v>
      </c>
      <c r="B1420" s="26"/>
      <c r="C1420" s="26" t="s">
        <v>8105</v>
      </c>
      <c r="D1420" s="26"/>
      <c r="E1420" s="26"/>
    </row>
    <row r="1421" spans="1:5" s="16" customFormat="1" ht="12.95" customHeight="1">
      <c r="A1421" s="26" t="s">
        <v>8106</v>
      </c>
      <c r="B1421" s="26"/>
      <c r="C1421" s="26" t="s">
        <v>8107</v>
      </c>
      <c r="D1421" s="26"/>
      <c r="E1421" s="26"/>
    </row>
    <row r="1422" spans="1:5" s="16" customFormat="1" ht="12.95" customHeight="1">
      <c r="A1422" s="26" t="s">
        <v>8108</v>
      </c>
      <c r="B1422" s="26"/>
      <c r="C1422" s="26" t="s">
        <v>8109</v>
      </c>
      <c r="D1422" s="26"/>
      <c r="E1422" s="26"/>
    </row>
    <row r="1423" spans="1:5" s="16" customFormat="1" ht="12.95" customHeight="1">
      <c r="A1423" s="26" t="s">
        <v>8110</v>
      </c>
      <c r="B1423" s="26"/>
      <c r="C1423" s="26" t="s">
        <v>8111</v>
      </c>
      <c r="D1423" s="26"/>
      <c r="E1423" s="26"/>
    </row>
    <row r="1424" spans="1:5" s="16" customFormat="1" ht="12.95" customHeight="1">
      <c r="A1424" s="26" t="s">
        <v>8112</v>
      </c>
      <c r="B1424" s="26"/>
      <c r="C1424" s="26" t="s">
        <v>8113</v>
      </c>
      <c r="D1424" s="26"/>
      <c r="E1424" s="26"/>
    </row>
    <row r="1425" spans="1:5" s="16" customFormat="1" ht="12.95" customHeight="1">
      <c r="A1425" s="26" t="s">
        <v>2683</v>
      </c>
      <c r="B1425" s="26"/>
      <c r="C1425" s="26" t="s">
        <v>8114</v>
      </c>
      <c r="D1425" s="26"/>
      <c r="E1425" s="26"/>
    </row>
    <row r="1426" spans="1:5" s="16" customFormat="1" ht="12.95" customHeight="1">
      <c r="A1426" s="26" t="s">
        <v>8115</v>
      </c>
      <c r="B1426" s="26"/>
      <c r="C1426" s="26" t="s">
        <v>8114</v>
      </c>
      <c r="D1426" s="26"/>
      <c r="E1426" s="26"/>
    </row>
    <row r="1427" spans="1:5" s="16" customFormat="1" ht="12.95" customHeight="1">
      <c r="A1427" s="26" t="s">
        <v>8116</v>
      </c>
      <c r="B1427" s="26"/>
      <c r="C1427" s="26" t="s">
        <v>8117</v>
      </c>
      <c r="D1427" s="26"/>
      <c r="E1427" s="26"/>
    </row>
    <row r="1428" spans="1:5" s="16" customFormat="1" ht="12.95" customHeight="1">
      <c r="A1428" s="26" t="s">
        <v>8118</v>
      </c>
      <c r="B1428" s="26"/>
      <c r="C1428" s="26" t="s">
        <v>8119</v>
      </c>
      <c r="D1428" s="26"/>
      <c r="E1428" s="26"/>
    </row>
    <row r="1429" spans="1:5" s="16" customFormat="1" ht="12.95" customHeight="1">
      <c r="A1429" s="26" t="s">
        <v>8120</v>
      </c>
      <c r="B1429" s="26"/>
      <c r="C1429" s="26" t="s">
        <v>8121</v>
      </c>
      <c r="D1429" s="26"/>
      <c r="E1429" s="26"/>
    </row>
    <row r="1430" spans="1:5" s="16" customFormat="1" ht="12.95" customHeight="1">
      <c r="A1430" s="26" t="s">
        <v>8122</v>
      </c>
      <c r="B1430" s="26"/>
      <c r="C1430" s="26" t="s">
        <v>8123</v>
      </c>
      <c r="D1430" s="26"/>
      <c r="E1430" s="26"/>
    </row>
    <row r="1431" spans="1:5" s="16" customFormat="1" ht="12.95" customHeight="1">
      <c r="A1431" s="26" t="s">
        <v>8124</v>
      </c>
      <c r="B1431" s="26"/>
      <c r="C1431" s="26" t="s">
        <v>8125</v>
      </c>
      <c r="D1431" s="26"/>
      <c r="E1431" s="26"/>
    </row>
    <row r="1432" spans="1:5" s="16" customFormat="1" ht="12.95" customHeight="1">
      <c r="A1432" s="26" t="s">
        <v>8126</v>
      </c>
      <c r="B1432" s="26"/>
      <c r="C1432" s="26" t="s">
        <v>8127</v>
      </c>
      <c r="D1432" s="26"/>
      <c r="E1432" s="26"/>
    </row>
    <row r="1433" spans="1:5" s="16" customFormat="1" ht="12.95" customHeight="1">
      <c r="A1433" s="26" t="s">
        <v>8128</v>
      </c>
      <c r="B1433" s="26"/>
      <c r="C1433" s="26" t="s">
        <v>8129</v>
      </c>
      <c r="D1433" s="26"/>
      <c r="E1433" s="26"/>
    </row>
    <row r="1434" spans="1:5" s="16" customFormat="1" ht="12.95" customHeight="1">
      <c r="A1434" s="26" t="s">
        <v>8130</v>
      </c>
      <c r="B1434" s="26"/>
      <c r="C1434" s="26" t="s">
        <v>8131</v>
      </c>
      <c r="D1434" s="26"/>
      <c r="E1434" s="26"/>
    </row>
    <row r="1435" spans="1:5" s="16" customFormat="1" ht="12.95" customHeight="1">
      <c r="A1435" s="26" t="s">
        <v>8132</v>
      </c>
      <c r="B1435" s="26"/>
      <c r="C1435" s="26" t="s">
        <v>8133</v>
      </c>
      <c r="D1435" s="26"/>
      <c r="E1435" s="26"/>
    </row>
    <row r="1436" spans="1:5" s="16" customFormat="1" ht="12.95" customHeight="1">
      <c r="A1436" s="26" t="s">
        <v>8134</v>
      </c>
      <c r="B1436" s="26"/>
      <c r="C1436" s="26" t="s">
        <v>8135</v>
      </c>
      <c r="D1436" s="26"/>
      <c r="E1436" s="26"/>
    </row>
    <row r="1437" spans="1:5" s="16" customFormat="1" ht="12.95" customHeight="1">
      <c r="A1437" s="26" t="s">
        <v>8136</v>
      </c>
      <c r="B1437" s="26"/>
      <c r="C1437" s="26" t="s">
        <v>8137</v>
      </c>
      <c r="D1437" s="26"/>
      <c r="E1437" s="26"/>
    </row>
    <row r="1438" spans="1:5" s="16" customFormat="1" ht="12.95" customHeight="1">
      <c r="A1438" s="26" t="s">
        <v>8138</v>
      </c>
      <c r="B1438" s="26"/>
      <c r="C1438" s="26" t="s">
        <v>8139</v>
      </c>
      <c r="D1438" s="26"/>
      <c r="E1438" s="26"/>
    </row>
    <row r="1439" spans="1:5" s="16" customFormat="1" ht="12.95" customHeight="1">
      <c r="A1439" s="26" t="s">
        <v>8140</v>
      </c>
      <c r="B1439" s="26"/>
      <c r="C1439" s="26" t="s">
        <v>8141</v>
      </c>
      <c r="D1439" s="26"/>
      <c r="E1439" s="26"/>
    </row>
    <row r="1440" spans="1:5" s="16" customFormat="1" ht="12.95" customHeight="1">
      <c r="A1440" s="26" t="s">
        <v>8142</v>
      </c>
      <c r="B1440" s="26"/>
      <c r="C1440" s="26" t="s">
        <v>8143</v>
      </c>
      <c r="D1440" s="26"/>
      <c r="E1440" s="26"/>
    </row>
    <row r="1441" spans="1:5" s="16" customFormat="1" ht="12.95" customHeight="1">
      <c r="A1441" s="26" t="s">
        <v>8144</v>
      </c>
      <c r="B1441" s="26"/>
      <c r="C1441" s="26" t="s">
        <v>8137</v>
      </c>
      <c r="D1441" s="26"/>
      <c r="E1441" s="26"/>
    </row>
    <row r="1442" spans="1:5" s="16" customFormat="1" ht="12.95" customHeight="1">
      <c r="A1442" s="26" t="s">
        <v>8145</v>
      </c>
      <c r="B1442" s="26"/>
      <c r="C1442" s="26" t="s">
        <v>8139</v>
      </c>
      <c r="D1442" s="26"/>
      <c r="E1442" s="26"/>
    </row>
    <row r="1443" spans="1:5" s="16" customFormat="1" ht="12.95" customHeight="1">
      <c r="A1443" s="26" t="s">
        <v>8146</v>
      </c>
      <c r="B1443" s="26"/>
      <c r="C1443" s="26" t="s">
        <v>8141</v>
      </c>
      <c r="D1443" s="26"/>
      <c r="E1443" s="26"/>
    </row>
    <row r="1444" spans="1:5" s="16" customFormat="1" ht="12.95" customHeight="1">
      <c r="A1444" s="26" t="s">
        <v>8147</v>
      </c>
      <c r="B1444" s="26"/>
      <c r="C1444" s="26" t="s">
        <v>8143</v>
      </c>
      <c r="D1444" s="26"/>
      <c r="E1444" s="26"/>
    </row>
    <row r="1445" spans="1:5" s="16" customFormat="1" ht="12.95" customHeight="1">
      <c r="A1445" s="26" t="s">
        <v>8148</v>
      </c>
      <c r="B1445" s="26"/>
      <c r="C1445" s="26" t="s">
        <v>8149</v>
      </c>
      <c r="D1445" s="26"/>
      <c r="E1445" s="26"/>
    </row>
    <row r="1446" spans="1:5" s="16" customFormat="1" ht="12.95" customHeight="1">
      <c r="A1446" s="26" t="s">
        <v>8150</v>
      </c>
      <c r="B1446" s="26"/>
      <c r="C1446" s="26" t="s">
        <v>8137</v>
      </c>
      <c r="D1446" s="26"/>
      <c r="E1446" s="26"/>
    </row>
    <row r="1447" spans="1:5" s="16" customFormat="1" ht="12.95" customHeight="1">
      <c r="A1447" s="26" t="s">
        <v>8151</v>
      </c>
      <c r="B1447" s="26"/>
      <c r="C1447" s="26" t="s">
        <v>8152</v>
      </c>
      <c r="D1447" s="26"/>
      <c r="E1447" s="26"/>
    </row>
    <row r="1448" spans="1:5" s="16" customFormat="1" ht="12.95" customHeight="1">
      <c r="A1448" s="26" t="s">
        <v>8153</v>
      </c>
      <c r="B1448" s="26"/>
      <c r="C1448" s="26" t="s">
        <v>8154</v>
      </c>
      <c r="D1448" s="26"/>
      <c r="E1448" s="26"/>
    </row>
    <row r="1449" spans="1:5" s="16" customFormat="1" ht="12.95" customHeight="1">
      <c r="A1449" s="26" t="s">
        <v>8155</v>
      </c>
      <c r="B1449" s="26"/>
      <c r="C1449" s="26" t="s">
        <v>8156</v>
      </c>
      <c r="D1449" s="26"/>
      <c r="E1449" s="26"/>
    </row>
    <row r="1450" spans="1:5" s="16" customFormat="1" ht="12.95" customHeight="1">
      <c r="A1450" s="26" t="s">
        <v>8157</v>
      </c>
      <c r="B1450" s="26"/>
      <c r="C1450" s="26" t="s">
        <v>8158</v>
      </c>
      <c r="D1450" s="26"/>
      <c r="E1450" s="26"/>
    </row>
    <row r="1451" spans="1:5" s="16" customFormat="1" ht="12.95" customHeight="1">
      <c r="A1451" s="26" t="s">
        <v>8159</v>
      </c>
      <c r="B1451" s="26"/>
      <c r="C1451" s="26" t="s">
        <v>8160</v>
      </c>
      <c r="D1451" s="26"/>
      <c r="E1451" s="26"/>
    </row>
    <row r="1452" spans="1:5" s="16" customFormat="1" ht="12.95" customHeight="1">
      <c r="A1452" s="26" t="s">
        <v>8161</v>
      </c>
      <c r="B1452" s="26"/>
      <c r="C1452" s="26" t="s">
        <v>8162</v>
      </c>
      <c r="D1452" s="26"/>
      <c r="E1452" s="26"/>
    </row>
    <row r="1453" spans="1:5" s="16" customFormat="1" ht="12.95" customHeight="1">
      <c r="A1453" s="26" t="s">
        <v>8163</v>
      </c>
      <c r="B1453" s="26"/>
      <c r="C1453" s="26" t="s">
        <v>8164</v>
      </c>
      <c r="D1453" s="26"/>
      <c r="E1453" s="26"/>
    </row>
    <row r="1454" spans="1:5" s="16" customFormat="1" ht="12.95" customHeight="1">
      <c r="A1454" s="26" t="s">
        <v>8165</v>
      </c>
      <c r="B1454" s="26"/>
      <c r="C1454" s="26" t="s">
        <v>8164</v>
      </c>
      <c r="D1454" s="26"/>
      <c r="E1454" s="26"/>
    </row>
    <row r="1455" spans="1:5" s="16" customFormat="1" ht="12.95" customHeight="1">
      <c r="A1455" s="26" t="s">
        <v>8166</v>
      </c>
      <c r="B1455" s="26"/>
      <c r="C1455" s="26" t="s">
        <v>8167</v>
      </c>
      <c r="D1455" s="26"/>
      <c r="E1455" s="26"/>
    </row>
    <row r="1456" spans="1:5" s="16" customFormat="1" ht="12.95" customHeight="1">
      <c r="A1456" s="26" t="s">
        <v>8168</v>
      </c>
      <c r="B1456" s="26"/>
      <c r="C1456" s="26" t="s">
        <v>8156</v>
      </c>
      <c r="D1456" s="26"/>
      <c r="E1456" s="26"/>
    </row>
    <row r="1457" spans="1:5" s="16" customFormat="1" ht="12.95" customHeight="1">
      <c r="A1457" s="26" t="s">
        <v>8169</v>
      </c>
      <c r="B1457" s="26"/>
      <c r="C1457" s="26" t="s">
        <v>8158</v>
      </c>
      <c r="D1457" s="26"/>
      <c r="E1457" s="26"/>
    </row>
    <row r="1458" spans="1:5" s="16" customFormat="1" ht="12.95" customHeight="1">
      <c r="A1458" s="26" t="s">
        <v>8170</v>
      </c>
      <c r="B1458" s="26"/>
      <c r="C1458" s="26" t="s">
        <v>8171</v>
      </c>
      <c r="D1458" s="26"/>
      <c r="E1458" s="26"/>
    </row>
    <row r="1459" spans="1:5" s="16" customFormat="1" ht="12.95" customHeight="1">
      <c r="A1459" s="26" t="s">
        <v>8172</v>
      </c>
      <c r="B1459" s="26"/>
      <c r="C1459" s="26" t="s">
        <v>8173</v>
      </c>
      <c r="D1459" s="26"/>
      <c r="E1459" s="26"/>
    </row>
    <row r="1460" spans="1:5" s="16" customFormat="1" ht="12.95" customHeight="1">
      <c r="A1460" s="26" t="s">
        <v>8174</v>
      </c>
      <c r="B1460" s="26"/>
      <c r="C1460" s="26" t="s">
        <v>8175</v>
      </c>
      <c r="D1460" s="26"/>
      <c r="E1460" s="26"/>
    </row>
    <row r="1461" spans="1:5" s="16" customFormat="1" ht="12.95" customHeight="1">
      <c r="A1461" s="26" t="s">
        <v>8176</v>
      </c>
      <c r="B1461" s="26"/>
      <c r="C1461" s="26" t="s">
        <v>8164</v>
      </c>
      <c r="D1461" s="26"/>
      <c r="E1461" s="26"/>
    </row>
    <row r="1462" spans="1:5" s="16" customFormat="1" ht="12.95" customHeight="1">
      <c r="A1462" s="26" t="s">
        <v>8177</v>
      </c>
      <c r="B1462" s="26"/>
      <c r="C1462" s="26" t="s">
        <v>8178</v>
      </c>
      <c r="D1462" s="26"/>
      <c r="E1462" s="26"/>
    </row>
    <row r="1463" spans="1:5" s="16" customFormat="1" ht="12.95" customHeight="1">
      <c r="A1463" s="26" t="s">
        <v>8179</v>
      </c>
      <c r="B1463" s="26"/>
      <c r="C1463" s="26" t="s">
        <v>8180</v>
      </c>
      <c r="D1463" s="26"/>
      <c r="E1463" s="26"/>
    </row>
    <row r="1464" spans="1:5" s="16" customFormat="1" ht="12.95" customHeight="1">
      <c r="A1464" s="26" t="s">
        <v>8181</v>
      </c>
      <c r="B1464" s="26"/>
      <c r="C1464" s="26" t="s">
        <v>8182</v>
      </c>
      <c r="D1464" s="26"/>
      <c r="E1464" s="26"/>
    </row>
    <row r="1465" spans="1:5" s="16" customFormat="1" ht="12.95" customHeight="1">
      <c r="A1465" s="26" t="s">
        <v>8183</v>
      </c>
      <c r="B1465" s="26"/>
      <c r="C1465" s="26" t="s">
        <v>8184</v>
      </c>
      <c r="D1465" s="26"/>
      <c r="E1465" s="26"/>
    </row>
    <row r="1466" spans="1:5" s="16" customFormat="1" ht="12.95" customHeight="1">
      <c r="A1466" s="26" t="s">
        <v>8185</v>
      </c>
      <c r="B1466" s="26"/>
      <c r="C1466" s="26" t="s">
        <v>8186</v>
      </c>
      <c r="D1466" s="26"/>
      <c r="E1466" s="26"/>
    </row>
    <row r="1467" spans="1:5" s="16" customFormat="1" ht="12.95" customHeight="1">
      <c r="A1467" s="26" t="s">
        <v>8187</v>
      </c>
      <c r="B1467" s="26"/>
      <c r="C1467" s="26" t="s">
        <v>8188</v>
      </c>
      <c r="D1467" s="26"/>
      <c r="E1467" s="26"/>
    </row>
    <row r="1468" spans="1:5" s="16" customFormat="1" ht="12.95" customHeight="1">
      <c r="A1468" s="26" t="s">
        <v>8189</v>
      </c>
      <c r="B1468" s="26"/>
      <c r="C1468" s="26" t="s">
        <v>8190</v>
      </c>
      <c r="D1468" s="26"/>
      <c r="E1468" s="26"/>
    </row>
    <row r="1469" spans="1:5" s="16" customFormat="1" ht="12.95" customHeight="1">
      <c r="A1469" s="26" t="s">
        <v>8191</v>
      </c>
      <c r="B1469" s="26"/>
      <c r="C1469" s="26" t="s">
        <v>8192</v>
      </c>
      <c r="D1469" s="26"/>
      <c r="E1469" s="26"/>
    </row>
    <row r="1470" spans="1:5" s="16" customFormat="1" ht="12.95" customHeight="1">
      <c r="A1470" s="26" t="s">
        <v>8193</v>
      </c>
      <c r="B1470" s="26"/>
      <c r="C1470" s="26" t="s">
        <v>8194</v>
      </c>
      <c r="D1470" s="26"/>
      <c r="E1470" s="26"/>
    </row>
    <row r="1471" spans="1:5" s="16" customFormat="1" ht="12.95" customHeight="1">
      <c r="A1471" s="26" t="s">
        <v>8195</v>
      </c>
      <c r="B1471" s="26"/>
      <c r="C1471" s="26" t="s">
        <v>8196</v>
      </c>
      <c r="D1471" s="26"/>
      <c r="E1471" s="26"/>
    </row>
    <row r="1472" spans="1:5" s="16" customFormat="1" ht="12.95" customHeight="1">
      <c r="A1472" s="26" t="s">
        <v>8197</v>
      </c>
      <c r="B1472" s="26"/>
      <c r="C1472" s="26" t="s">
        <v>8198</v>
      </c>
      <c r="D1472" s="26"/>
      <c r="E1472" s="26"/>
    </row>
    <row r="1473" spans="1:5" s="16" customFormat="1" ht="12.95" customHeight="1">
      <c r="A1473" s="26" t="s">
        <v>8199</v>
      </c>
      <c r="B1473" s="26"/>
      <c r="C1473" s="26" t="s">
        <v>8200</v>
      </c>
      <c r="D1473" s="26"/>
      <c r="E1473" s="26"/>
    </row>
    <row r="1474" spans="1:5" s="16" customFormat="1" ht="12.95" customHeight="1">
      <c r="A1474" s="26" t="s">
        <v>8201</v>
      </c>
      <c r="B1474" s="26"/>
      <c r="C1474" s="26" t="s">
        <v>8202</v>
      </c>
      <c r="D1474" s="26"/>
      <c r="E1474" s="26"/>
    </row>
    <row r="1475" spans="1:5" s="16" customFormat="1" ht="12.95" customHeight="1">
      <c r="A1475" s="26" t="s">
        <v>8203</v>
      </c>
      <c r="B1475" s="26"/>
      <c r="C1475" s="26" t="s">
        <v>8204</v>
      </c>
      <c r="D1475" s="26"/>
      <c r="E1475" s="26"/>
    </row>
    <row r="1476" spans="1:5" s="16" customFormat="1" ht="12.95" customHeight="1">
      <c r="A1476" s="26" t="s">
        <v>8205</v>
      </c>
      <c r="B1476" s="26"/>
      <c r="C1476" s="26" t="s">
        <v>8206</v>
      </c>
      <c r="D1476" s="26"/>
      <c r="E1476" s="26"/>
    </row>
    <row r="1477" spans="1:5" s="16" customFormat="1" ht="12.95" customHeight="1">
      <c r="A1477" s="26" t="s">
        <v>8207</v>
      </c>
      <c r="B1477" s="26"/>
      <c r="C1477" s="26" t="s">
        <v>8208</v>
      </c>
      <c r="D1477" s="26"/>
      <c r="E1477" s="26"/>
    </row>
    <row r="1478" spans="1:5" s="16" customFormat="1" ht="12.95" customHeight="1">
      <c r="A1478" s="26" t="s">
        <v>8209</v>
      </c>
      <c r="B1478" s="26"/>
      <c r="C1478" s="26" t="s">
        <v>8210</v>
      </c>
      <c r="D1478" s="26"/>
      <c r="E1478" s="26"/>
    </row>
    <row r="1479" spans="1:5" s="16" customFormat="1" ht="12.95" customHeight="1">
      <c r="A1479" s="26" t="s">
        <v>8211</v>
      </c>
      <c r="B1479" s="26"/>
      <c r="C1479" s="26" t="s">
        <v>8212</v>
      </c>
      <c r="D1479" s="26"/>
      <c r="E1479" s="26"/>
    </row>
    <row r="1480" spans="1:5" s="16" customFormat="1" ht="12.95" customHeight="1">
      <c r="A1480" s="26" t="s">
        <v>8213</v>
      </c>
      <c r="B1480" s="26"/>
      <c r="C1480" s="26" t="s">
        <v>8214</v>
      </c>
      <c r="D1480" s="26"/>
      <c r="E1480" s="26"/>
    </row>
    <row r="1481" spans="1:5" s="16" customFormat="1" ht="12.95" customHeight="1">
      <c r="A1481" s="26" t="s">
        <v>8215</v>
      </c>
      <c r="B1481" s="26"/>
      <c r="C1481" s="26" t="s">
        <v>8216</v>
      </c>
      <c r="D1481" s="26"/>
      <c r="E1481" s="26"/>
    </row>
    <row r="1482" spans="1:5" s="16" customFormat="1" ht="12.95" customHeight="1">
      <c r="A1482" s="26" t="s">
        <v>8217</v>
      </c>
      <c r="B1482" s="26"/>
      <c r="C1482" s="26" t="s">
        <v>8218</v>
      </c>
      <c r="D1482" s="26"/>
      <c r="E1482" s="26"/>
    </row>
    <row r="1483" spans="1:5" s="16" customFormat="1" ht="12.95" customHeight="1">
      <c r="A1483" s="26" t="s">
        <v>8219</v>
      </c>
      <c r="B1483" s="26"/>
      <c r="C1483" s="26" t="s">
        <v>8220</v>
      </c>
      <c r="D1483" s="26"/>
      <c r="E1483" s="26"/>
    </row>
    <row r="1484" spans="1:5" s="16" customFormat="1" ht="12.95" customHeight="1">
      <c r="A1484" s="26" t="s">
        <v>8221</v>
      </c>
      <c r="B1484" s="26"/>
      <c r="C1484" s="26" t="s">
        <v>8222</v>
      </c>
      <c r="D1484" s="26"/>
      <c r="E1484" s="26"/>
    </row>
    <row r="1485" spans="1:5" s="16" customFormat="1" ht="12.95" customHeight="1">
      <c r="A1485" s="26" t="s">
        <v>8223</v>
      </c>
      <c r="B1485" s="26"/>
      <c r="C1485" s="26" t="s">
        <v>8224</v>
      </c>
      <c r="D1485" s="26"/>
      <c r="E1485" s="26"/>
    </row>
    <row r="1486" spans="1:5" s="16" customFormat="1" ht="12.95" customHeight="1">
      <c r="A1486" s="26" t="s">
        <v>8225</v>
      </c>
      <c r="B1486" s="26"/>
      <c r="C1486" s="26" t="s">
        <v>8226</v>
      </c>
      <c r="D1486" s="26"/>
      <c r="E1486" s="26"/>
    </row>
    <row r="1487" spans="1:5" s="16" customFormat="1" ht="12.95" customHeight="1">
      <c r="A1487" s="26" t="s">
        <v>8227</v>
      </c>
      <c r="B1487" s="26"/>
      <c r="C1487" s="26" t="s">
        <v>8228</v>
      </c>
      <c r="D1487" s="26"/>
      <c r="E1487" s="26"/>
    </row>
    <row r="1488" spans="1:5" s="16" customFormat="1" ht="12.95" customHeight="1">
      <c r="A1488" s="26" t="s">
        <v>8229</v>
      </c>
      <c r="B1488" s="26"/>
      <c r="C1488" s="26" t="s">
        <v>8230</v>
      </c>
      <c r="D1488" s="26"/>
      <c r="E1488" s="26"/>
    </row>
    <row r="1489" spans="1:5" s="16" customFormat="1" ht="12.95" customHeight="1">
      <c r="A1489" s="26" t="s">
        <v>8231</v>
      </c>
      <c r="B1489" s="26"/>
      <c r="C1489" s="26" t="s">
        <v>8232</v>
      </c>
      <c r="D1489" s="26"/>
      <c r="E1489" s="26"/>
    </row>
    <row r="1490" spans="1:5" s="16" customFormat="1" ht="12.95" customHeight="1">
      <c r="A1490" s="26" t="s">
        <v>8233</v>
      </c>
      <c r="B1490" s="26"/>
      <c r="C1490" s="26" t="s">
        <v>8234</v>
      </c>
      <c r="D1490" s="26"/>
      <c r="E1490" s="26"/>
    </row>
    <row r="1491" spans="1:5" s="16" customFormat="1" ht="12.95" customHeight="1">
      <c r="A1491" s="26" t="s">
        <v>8235</v>
      </c>
      <c r="B1491" s="26"/>
      <c r="C1491" s="26" t="s">
        <v>8236</v>
      </c>
      <c r="D1491" s="26"/>
      <c r="E1491" s="26"/>
    </row>
    <row r="1492" spans="1:5" s="16" customFormat="1" ht="12.95" customHeight="1">
      <c r="A1492" s="26" t="s">
        <v>2327</v>
      </c>
      <c r="B1492" s="26"/>
      <c r="C1492" s="26" t="s">
        <v>8237</v>
      </c>
      <c r="D1492" s="26"/>
      <c r="E1492" s="26"/>
    </row>
    <row r="1493" spans="1:5" s="16" customFormat="1" ht="12.95" customHeight="1">
      <c r="A1493" s="26" t="s">
        <v>8238</v>
      </c>
      <c r="B1493" s="26"/>
      <c r="C1493" s="26" t="s">
        <v>8239</v>
      </c>
      <c r="D1493" s="26"/>
      <c r="E1493" s="26"/>
    </row>
    <row r="1494" spans="1:5" s="16" customFormat="1" ht="12.95" customHeight="1">
      <c r="A1494" s="26" t="s">
        <v>8240</v>
      </c>
      <c r="B1494" s="26"/>
      <c r="C1494" s="26" t="s">
        <v>8241</v>
      </c>
      <c r="D1494" s="26"/>
      <c r="E1494" s="26"/>
    </row>
    <row r="1495" spans="1:5" s="16" customFormat="1" ht="12.95" customHeight="1">
      <c r="A1495" s="26" t="s">
        <v>8242</v>
      </c>
      <c r="B1495" s="26"/>
      <c r="C1495" s="26" t="s">
        <v>8243</v>
      </c>
      <c r="D1495" s="26"/>
      <c r="E1495" s="26"/>
    </row>
    <row r="1496" spans="1:5" s="16" customFormat="1" ht="12.95" customHeight="1">
      <c r="A1496" s="26" t="s">
        <v>8244</v>
      </c>
      <c r="B1496" s="26"/>
      <c r="C1496" s="26" t="s">
        <v>8245</v>
      </c>
      <c r="D1496" s="26"/>
      <c r="E1496" s="26"/>
    </row>
    <row r="1497" spans="1:5" s="16" customFormat="1" ht="12.95" customHeight="1">
      <c r="A1497" s="26" t="s">
        <v>8246</v>
      </c>
      <c r="B1497" s="26"/>
      <c r="C1497" s="26" t="s">
        <v>8247</v>
      </c>
      <c r="D1497" s="26"/>
      <c r="E1497" s="26"/>
    </row>
    <row r="1498" spans="1:5" s="16" customFormat="1" ht="12.95" customHeight="1">
      <c r="A1498" s="26" t="s">
        <v>8248</v>
      </c>
      <c r="B1498" s="26"/>
      <c r="C1498" s="26" t="s">
        <v>8249</v>
      </c>
      <c r="D1498" s="26"/>
      <c r="E1498" s="26"/>
    </row>
    <row r="1499" spans="1:5" s="16" customFormat="1" ht="12.95" customHeight="1">
      <c r="A1499" s="26" t="s">
        <v>8250</v>
      </c>
      <c r="B1499" s="26"/>
      <c r="C1499" s="26" t="s">
        <v>8251</v>
      </c>
      <c r="D1499" s="26"/>
      <c r="E1499" s="26"/>
    </row>
    <row r="1500" spans="1:5" s="16" customFormat="1" ht="12.95" customHeight="1">
      <c r="A1500" s="26" t="s">
        <v>8252</v>
      </c>
      <c r="B1500" s="26"/>
      <c r="C1500" s="26" t="s">
        <v>8253</v>
      </c>
      <c r="D1500" s="26"/>
      <c r="E1500" s="26"/>
    </row>
    <row r="1501" spans="1:5" s="16" customFormat="1" ht="12.95" customHeight="1">
      <c r="A1501" s="26" t="s">
        <v>8254</v>
      </c>
      <c r="B1501" s="26"/>
      <c r="C1501" s="26" t="s">
        <v>8255</v>
      </c>
      <c r="D1501" s="26"/>
      <c r="E1501" s="26"/>
    </row>
    <row r="1502" spans="1:5" s="16" customFormat="1" ht="12.95" customHeight="1">
      <c r="A1502" s="26" t="s">
        <v>8256</v>
      </c>
      <c r="B1502" s="26"/>
      <c r="C1502" s="26" t="s">
        <v>8257</v>
      </c>
      <c r="D1502" s="26"/>
      <c r="E1502" s="26"/>
    </row>
    <row r="1503" spans="1:5" s="16" customFormat="1" ht="12.95" customHeight="1">
      <c r="A1503" s="26" t="s">
        <v>8258</v>
      </c>
      <c r="B1503" s="26"/>
      <c r="C1503" s="26" t="s">
        <v>8259</v>
      </c>
      <c r="D1503" s="26"/>
      <c r="E1503" s="26"/>
    </row>
    <row r="1504" spans="1:5" s="16" customFormat="1" ht="12.95" customHeight="1">
      <c r="A1504" s="26" t="s">
        <v>8260</v>
      </c>
      <c r="B1504" s="26"/>
      <c r="C1504" s="26" t="s">
        <v>8261</v>
      </c>
      <c r="D1504" s="26"/>
      <c r="E1504" s="26"/>
    </row>
    <row r="1505" spans="1:5" s="16" customFormat="1" ht="12.95" customHeight="1">
      <c r="A1505" s="26" t="s">
        <v>8262</v>
      </c>
      <c r="B1505" s="26"/>
      <c r="C1505" s="26" t="s">
        <v>8263</v>
      </c>
      <c r="D1505" s="26"/>
      <c r="E1505" s="26"/>
    </row>
    <row r="1506" spans="1:5" s="16" customFormat="1" ht="12.95" customHeight="1">
      <c r="A1506" s="26" t="s">
        <v>8264</v>
      </c>
      <c r="B1506" s="26"/>
      <c r="C1506" s="26" t="s">
        <v>8265</v>
      </c>
      <c r="D1506" s="26"/>
      <c r="E1506" s="26"/>
    </row>
    <row r="1507" spans="1:5" s="16" customFormat="1" ht="12.95" customHeight="1">
      <c r="A1507" s="26" t="s">
        <v>8266</v>
      </c>
      <c r="B1507" s="26"/>
      <c r="C1507" s="26" t="s">
        <v>8267</v>
      </c>
      <c r="D1507" s="26"/>
      <c r="E1507" s="26"/>
    </row>
    <row r="1508" spans="1:5" s="16" customFormat="1" ht="26.1" customHeight="1">
      <c r="A1508" s="26" t="s">
        <v>8268</v>
      </c>
      <c r="B1508" s="26"/>
      <c r="C1508" s="26" t="s">
        <v>8269</v>
      </c>
      <c r="D1508" s="26"/>
      <c r="E1508" s="26"/>
    </row>
    <row r="1509" spans="1:5" s="16" customFormat="1" ht="12.95" customHeight="1">
      <c r="A1509" s="26" t="s">
        <v>8270</v>
      </c>
      <c r="B1509" s="26"/>
      <c r="C1509" s="26" t="s">
        <v>8271</v>
      </c>
      <c r="D1509" s="26"/>
      <c r="E1509" s="26"/>
    </row>
    <row r="1510" spans="1:5" s="16" customFormat="1" ht="12.95" customHeight="1">
      <c r="A1510" s="26" t="s">
        <v>8272</v>
      </c>
      <c r="B1510" s="26"/>
      <c r="C1510" s="26" t="s">
        <v>8273</v>
      </c>
      <c r="D1510" s="26"/>
      <c r="E1510" s="26"/>
    </row>
    <row r="1511" spans="1:5" s="16" customFormat="1" ht="12.95" customHeight="1">
      <c r="A1511" s="26" t="s">
        <v>8274</v>
      </c>
      <c r="B1511" s="26"/>
      <c r="C1511" s="26" t="s">
        <v>8275</v>
      </c>
      <c r="D1511" s="26"/>
      <c r="E1511" s="26"/>
    </row>
    <row r="1512" spans="1:5" s="16" customFormat="1" ht="12.95" customHeight="1">
      <c r="A1512" s="26" t="s">
        <v>8276</v>
      </c>
      <c r="B1512" s="26"/>
      <c r="C1512" s="26" t="s">
        <v>8277</v>
      </c>
      <c r="D1512" s="26"/>
      <c r="E1512" s="26"/>
    </row>
    <row r="1513" spans="1:5" s="16" customFormat="1" ht="12.95" customHeight="1">
      <c r="A1513" s="26" t="s">
        <v>8278</v>
      </c>
      <c r="B1513" s="26"/>
      <c r="C1513" s="26" t="s">
        <v>8279</v>
      </c>
      <c r="D1513" s="26"/>
      <c r="E1513" s="26"/>
    </row>
    <row r="1514" spans="1:5" s="16" customFormat="1" ht="12.95" customHeight="1">
      <c r="A1514" s="26" t="s">
        <v>8280</v>
      </c>
      <c r="B1514" s="26"/>
      <c r="C1514" s="26" t="s">
        <v>8281</v>
      </c>
      <c r="D1514" s="26"/>
      <c r="E1514" s="26"/>
    </row>
    <row r="1515" spans="1:5" s="16" customFormat="1" ht="12.95" customHeight="1">
      <c r="A1515" s="26" t="s">
        <v>8282</v>
      </c>
      <c r="B1515" s="26"/>
      <c r="C1515" s="26" t="s">
        <v>8283</v>
      </c>
      <c r="D1515" s="26"/>
      <c r="E1515" s="26"/>
    </row>
    <row r="1516" spans="1:5" s="16" customFormat="1" ht="12.95" customHeight="1">
      <c r="A1516" s="26" t="s">
        <v>8284</v>
      </c>
      <c r="B1516" s="26"/>
      <c r="C1516" s="26" t="s">
        <v>8285</v>
      </c>
      <c r="D1516" s="26"/>
      <c r="E1516" s="26"/>
    </row>
    <row r="1517" spans="1:5" s="16" customFormat="1" ht="12.95" customHeight="1">
      <c r="A1517" s="26" t="s">
        <v>8286</v>
      </c>
      <c r="B1517" s="26"/>
      <c r="C1517" s="26" t="s">
        <v>8283</v>
      </c>
      <c r="D1517" s="26"/>
      <c r="E1517" s="26"/>
    </row>
    <row r="1518" spans="1:5" s="16" customFormat="1" ht="12.95" customHeight="1">
      <c r="A1518" s="26" t="s">
        <v>8287</v>
      </c>
      <c r="B1518" s="26"/>
      <c r="C1518" s="26" t="s">
        <v>8288</v>
      </c>
      <c r="D1518" s="26"/>
      <c r="E1518" s="26"/>
    </row>
    <row r="1519" spans="1:5" s="16" customFormat="1" ht="12.95" customHeight="1">
      <c r="A1519" s="26" t="s">
        <v>8289</v>
      </c>
      <c r="B1519" s="26"/>
      <c r="C1519" s="26" t="s">
        <v>8285</v>
      </c>
      <c r="D1519" s="26"/>
      <c r="E1519" s="26"/>
    </row>
    <row r="1520" spans="1:5" s="16" customFormat="1" ht="12.95" customHeight="1">
      <c r="A1520" s="26" t="s">
        <v>8290</v>
      </c>
      <c r="B1520" s="26"/>
      <c r="C1520" s="26" t="s">
        <v>8291</v>
      </c>
      <c r="D1520" s="26"/>
      <c r="E1520" s="26"/>
    </row>
    <row r="1521" spans="1:5" s="16" customFormat="1" ht="12.95" customHeight="1">
      <c r="A1521" s="26" t="s">
        <v>8292</v>
      </c>
      <c r="B1521" s="26"/>
      <c r="C1521" s="26" t="s">
        <v>8293</v>
      </c>
      <c r="D1521" s="26"/>
      <c r="E1521" s="26"/>
    </row>
    <row r="1522" spans="1:5" s="16" customFormat="1" ht="12.95" customHeight="1">
      <c r="A1522" s="26" t="s">
        <v>8294</v>
      </c>
      <c r="B1522" s="26"/>
      <c r="C1522" s="26" t="s">
        <v>8295</v>
      </c>
      <c r="D1522" s="26"/>
      <c r="E1522" s="26"/>
    </row>
    <row r="1523" spans="1:5" s="16" customFormat="1" ht="12.95" customHeight="1">
      <c r="A1523" s="26" t="s">
        <v>8296</v>
      </c>
      <c r="B1523" s="26"/>
      <c r="C1523" s="26" t="s">
        <v>8297</v>
      </c>
      <c r="D1523" s="26"/>
      <c r="E1523" s="26"/>
    </row>
    <row r="1524" spans="1:5" s="16" customFormat="1" ht="12.95" customHeight="1">
      <c r="A1524" s="26" t="s">
        <v>8298</v>
      </c>
      <c r="B1524" s="26"/>
      <c r="C1524" s="26" t="s">
        <v>8299</v>
      </c>
      <c r="D1524" s="26"/>
      <c r="E1524" s="26"/>
    </row>
    <row r="1525" spans="1:5" s="16" customFormat="1" ht="12.95" customHeight="1">
      <c r="A1525" s="26" t="s">
        <v>8300</v>
      </c>
      <c r="B1525" s="26"/>
      <c r="C1525" s="26" t="s">
        <v>8301</v>
      </c>
      <c r="D1525" s="26"/>
      <c r="E1525" s="26"/>
    </row>
    <row r="1526" spans="1:5" s="16" customFormat="1" ht="12.95" customHeight="1">
      <c r="A1526" s="26" t="s">
        <v>8302</v>
      </c>
      <c r="B1526" s="26"/>
      <c r="C1526" s="26" t="s">
        <v>8303</v>
      </c>
      <c r="D1526" s="26"/>
      <c r="E1526" s="26"/>
    </row>
    <row r="1527" spans="1:5" s="16" customFormat="1" ht="12.95" customHeight="1">
      <c r="A1527" s="26" t="s">
        <v>8304</v>
      </c>
      <c r="B1527" s="26"/>
      <c r="C1527" s="26" t="s">
        <v>8305</v>
      </c>
      <c r="D1527" s="26"/>
      <c r="E1527" s="26"/>
    </row>
    <row r="1528" spans="1:5" s="16" customFormat="1" ht="12.95" customHeight="1">
      <c r="A1528" s="26" t="s">
        <v>8306</v>
      </c>
      <c r="B1528" s="26"/>
      <c r="C1528" s="26" t="s">
        <v>8307</v>
      </c>
      <c r="D1528" s="26"/>
      <c r="E1528" s="26"/>
    </row>
    <row r="1529" spans="1:5" s="16" customFormat="1" ht="12.95" customHeight="1">
      <c r="A1529" s="26" t="s">
        <v>8308</v>
      </c>
      <c r="B1529" s="26"/>
      <c r="C1529" s="26" t="s">
        <v>8309</v>
      </c>
      <c r="D1529" s="26"/>
      <c r="E1529" s="26"/>
    </row>
    <row r="1530" spans="1:5" s="16" customFormat="1" ht="12.95" customHeight="1">
      <c r="A1530" s="26" t="s">
        <v>8310</v>
      </c>
      <c r="B1530" s="26"/>
      <c r="C1530" s="26" t="s">
        <v>8311</v>
      </c>
      <c r="D1530" s="26"/>
      <c r="E1530" s="26"/>
    </row>
    <row r="1531" spans="1:5" s="16" customFormat="1" ht="12.95" customHeight="1">
      <c r="A1531" s="26" t="s">
        <v>8312</v>
      </c>
      <c r="B1531" s="26"/>
      <c r="C1531" s="26" t="s">
        <v>8311</v>
      </c>
      <c r="D1531" s="26"/>
      <c r="E1531" s="26"/>
    </row>
    <row r="1532" spans="1:5" s="16" customFormat="1" ht="12.95" customHeight="1">
      <c r="A1532" s="26" t="s">
        <v>8313</v>
      </c>
      <c r="B1532" s="26"/>
      <c r="C1532" s="26" t="s">
        <v>8307</v>
      </c>
      <c r="D1532" s="26"/>
      <c r="E1532" s="26"/>
    </row>
    <row r="1533" spans="1:5" s="16" customFormat="1" ht="12.95" customHeight="1">
      <c r="A1533" s="26" t="s">
        <v>8314</v>
      </c>
      <c r="B1533" s="26"/>
      <c r="C1533" s="26" t="s">
        <v>8315</v>
      </c>
      <c r="D1533" s="26"/>
      <c r="E1533" s="26"/>
    </row>
    <row r="1534" spans="1:5" s="16" customFormat="1" ht="12.95" customHeight="1">
      <c r="A1534" s="26" t="s">
        <v>8316</v>
      </c>
      <c r="B1534" s="26"/>
      <c r="C1534" s="26" t="s">
        <v>8317</v>
      </c>
      <c r="D1534" s="26"/>
      <c r="E1534" s="26"/>
    </row>
    <row r="1535" spans="1:5" s="16" customFormat="1" ht="12.95" customHeight="1">
      <c r="A1535" s="26" t="s">
        <v>8318</v>
      </c>
      <c r="B1535" s="26"/>
      <c r="C1535" s="26" t="s">
        <v>8319</v>
      </c>
      <c r="D1535" s="26"/>
      <c r="E1535" s="26"/>
    </row>
    <row r="1536" spans="1:5" s="16" customFormat="1" ht="12.95" customHeight="1">
      <c r="A1536" s="26" t="s">
        <v>8320</v>
      </c>
      <c r="B1536" s="26"/>
      <c r="C1536" s="26" t="s">
        <v>8321</v>
      </c>
      <c r="D1536" s="26"/>
      <c r="E1536" s="26"/>
    </row>
    <row r="1537" spans="1:5" s="16" customFormat="1" ht="12.95" customHeight="1">
      <c r="A1537" s="26" t="s">
        <v>8322</v>
      </c>
      <c r="B1537" s="26"/>
      <c r="C1537" s="26" t="s">
        <v>8323</v>
      </c>
      <c r="D1537" s="26"/>
      <c r="E1537" s="26"/>
    </row>
    <row r="1538" spans="1:5" s="16" customFormat="1" ht="12.95" customHeight="1">
      <c r="A1538" s="26" t="s">
        <v>8324</v>
      </c>
      <c r="B1538" s="26"/>
      <c r="C1538" s="26" t="s">
        <v>8325</v>
      </c>
      <c r="D1538" s="26"/>
      <c r="E1538" s="26"/>
    </row>
    <row r="1539" spans="1:5" s="16" customFormat="1" ht="12.95" customHeight="1">
      <c r="A1539" s="26" t="s">
        <v>8326</v>
      </c>
      <c r="B1539" s="26"/>
      <c r="C1539" s="26" t="s">
        <v>8325</v>
      </c>
      <c r="D1539" s="26"/>
      <c r="E1539" s="26"/>
    </row>
    <row r="1540" spans="1:5" s="16" customFormat="1" ht="12.95" customHeight="1">
      <c r="A1540" s="26" t="s">
        <v>8327</v>
      </c>
      <c r="B1540" s="26"/>
      <c r="C1540" s="26" t="s">
        <v>8328</v>
      </c>
      <c r="D1540" s="26"/>
      <c r="E1540" s="26"/>
    </row>
    <row r="1541" spans="1:5" s="16" customFormat="1" ht="12.95" customHeight="1">
      <c r="A1541" s="26" t="s">
        <v>8329</v>
      </c>
      <c r="B1541" s="26"/>
      <c r="C1541" s="26" t="s">
        <v>8325</v>
      </c>
      <c r="D1541" s="26"/>
      <c r="E1541" s="26"/>
    </row>
    <row r="1542" spans="1:5" s="16" customFormat="1" ht="12.95" customHeight="1">
      <c r="A1542" s="26" t="s">
        <v>8330</v>
      </c>
      <c r="B1542" s="26"/>
      <c r="C1542" s="26" t="s">
        <v>8331</v>
      </c>
      <c r="D1542" s="26"/>
      <c r="E1542" s="26"/>
    </row>
    <row r="1543" spans="1:5" s="16" customFormat="1" ht="12.95" customHeight="1">
      <c r="A1543" s="26" t="s">
        <v>8332</v>
      </c>
      <c r="B1543" s="26"/>
      <c r="C1543" s="26" t="s">
        <v>8333</v>
      </c>
      <c r="D1543" s="26"/>
      <c r="E1543" s="26"/>
    </row>
    <row r="1544" spans="1:5" s="16" customFormat="1" ht="12.95" customHeight="1">
      <c r="A1544" s="26" t="s">
        <v>8334</v>
      </c>
      <c r="B1544" s="26"/>
      <c r="C1544" s="26" t="s">
        <v>8335</v>
      </c>
      <c r="D1544" s="26"/>
      <c r="E1544" s="26"/>
    </row>
    <row r="1545" spans="1:5" s="16" customFormat="1" ht="12.95" customHeight="1">
      <c r="A1545" s="26" t="s">
        <v>8336</v>
      </c>
      <c r="B1545" s="26"/>
      <c r="C1545" s="26" t="s">
        <v>8337</v>
      </c>
      <c r="D1545" s="26"/>
      <c r="E1545" s="26"/>
    </row>
    <row r="1546" spans="1:5" s="16" customFormat="1" ht="12.95" customHeight="1">
      <c r="A1546" s="26" t="s">
        <v>8338</v>
      </c>
      <c r="B1546" s="26"/>
      <c r="C1546" s="26" t="s">
        <v>8339</v>
      </c>
      <c r="D1546" s="26"/>
      <c r="E1546" s="26"/>
    </row>
    <row r="1547" spans="1:5" s="16" customFormat="1" ht="12.95" customHeight="1">
      <c r="A1547" s="26" t="s">
        <v>8340</v>
      </c>
      <c r="B1547" s="26"/>
      <c r="C1547" s="26" t="s">
        <v>8341</v>
      </c>
      <c r="D1547" s="26"/>
      <c r="E1547" s="26"/>
    </row>
    <row r="1548" spans="1:5" s="16" customFormat="1" ht="12.95" customHeight="1">
      <c r="A1548" s="26" t="s">
        <v>8342</v>
      </c>
      <c r="B1548" s="26"/>
      <c r="C1548" s="26" t="s">
        <v>8343</v>
      </c>
      <c r="D1548" s="26"/>
      <c r="E1548" s="26"/>
    </row>
    <row r="1549" spans="1:5" s="16" customFormat="1" ht="12.95" customHeight="1">
      <c r="A1549" s="26" t="s">
        <v>8344</v>
      </c>
      <c r="B1549" s="26"/>
      <c r="C1549" s="26" t="s">
        <v>8345</v>
      </c>
      <c r="D1549" s="26"/>
      <c r="E1549" s="26"/>
    </row>
    <row r="1550" spans="1:5" s="16" customFormat="1" ht="12.95" customHeight="1">
      <c r="A1550" s="26" t="s">
        <v>8346</v>
      </c>
      <c r="B1550" s="26"/>
      <c r="C1550" s="26" t="s">
        <v>8347</v>
      </c>
      <c r="D1550" s="26"/>
      <c r="E1550" s="26"/>
    </row>
    <row r="1551" spans="1:5" s="16" customFormat="1" ht="12.95" customHeight="1">
      <c r="A1551" s="26" t="s">
        <v>8348</v>
      </c>
      <c r="B1551" s="26"/>
      <c r="C1551" s="26" t="s">
        <v>8349</v>
      </c>
      <c r="D1551" s="26"/>
      <c r="E1551" s="26"/>
    </row>
    <row r="1552" spans="1:5" s="16" customFormat="1" ht="12.95" customHeight="1">
      <c r="A1552" s="26" t="s">
        <v>8350</v>
      </c>
      <c r="B1552" s="26"/>
      <c r="C1552" s="26" t="s">
        <v>8349</v>
      </c>
      <c r="D1552" s="26"/>
      <c r="E1552" s="26"/>
    </row>
    <row r="1553" spans="1:5" s="16" customFormat="1" ht="12.95" customHeight="1">
      <c r="A1553" s="26" t="s">
        <v>8351</v>
      </c>
      <c r="B1553" s="26"/>
      <c r="C1553" s="26" t="s">
        <v>8352</v>
      </c>
      <c r="D1553" s="26"/>
      <c r="E1553" s="26"/>
    </row>
    <row r="1554" spans="1:5" s="16" customFormat="1" ht="12.95" customHeight="1">
      <c r="A1554" s="26" t="s">
        <v>8353</v>
      </c>
      <c r="B1554" s="26"/>
      <c r="C1554" s="26" t="s">
        <v>8354</v>
      </c>
      <c r="D1554" s="26"/>
      <c r="E1554" s="26"/>
    </row>
    <row r="1555" spans="1:5" s="16" customFormat="1" ht="12.95" customHeight="1">
      <c r="A1555" s="26" t="s">
        <v>8355</v>
      </c>
      <c r="B1555" s="26"/>
      <c r="C1555" s="26" t="s">
        <v>8356</v>
      </c>
      <c r="D1555" s="26"/>
      <c r="E1555" s="26"/>
    </row>
    <row r="1556" spans="1:5" s="16" customFormat="1" ht="12.95" customHeight="1">
      <c r="A1556" s="26" t="s">
        <v>8357</v>
      </c>
      <c r="B1556" s="26"/>
      <c r="C1556" s="26" t="s">
        <v>8358</v>
      </c>
      <c r="D1556" s="26"/>
      <c r="E1556" s="26"/>
    </row>
    <row r="1557" spans="1:5" s="16" customFormat="1" ht="12.95" customHeight="1">
      <c r="A1557" s="26" t="s">
        <v>8359</v>
      </c>
      <c r="B1557" s="26"/>
      <c r="C1557" s="26" t="s">
        <v>8360</v>
      </c>
      <c r="D1557" s="26"/>
      <c r="E1557" s="26"/>
    </row>
    <row r="1558" spans="1:5" s="16" customFormat="1" ht="12.95" customHeight="1">
      <c r="A1558" s="26" t="s">
        <v>8361</v>
      </c>
      <c r="B1558" s="26"/>
      <c r="C1558" s="26" t="s">
        <v>8362</v>
      </c>
      <c r="D1558" s="26"/>
      <c r="E1558" s="26"/>
    </row>
    <row r="1559" spans="1:5" s="16" customFormat="1" ht="12.95" customHeight="1">
      <c r="A1559" s="26" t="s">
        <v>8363</v>
      </c>
      <c r="B1559" s="26"/>
      <c r="C1559" s="26" t="s">
        <v>8364</v>
      </c>
      <c r="D1559" s="26"/>
      <c r="E1559" s="26"/>
    </row>
    <row r="1560" spans="1:5" s="16" customFormat="1" ht="12.95" customHeight="1">
      <c r="A1560" s="26" t="s">
        <v>8365</v>
      </c>
      <c r="B1560" s="26"/>
      <c r="C1560" s="26" t="s">
        <v>8366</v>
      </c>
      <c r="D1560" s="26"/>
      <c r="E1560" s="26"/>
    </row>
    <row r="1561" spans="1:5" s="16" customFormat="1" ht="12.95" customHeight="1">
      <c r="A1561" s="26" t="s">
        <v>8367</v>
      </c>
      <c r="B1561" s="26"/>
      <c r="C1561" s="26" t="s">
        <v>8368</v>
      </c>
      <c r="D1561" s="26"/>
      <c r="E1561" s="26"/>
    </row>
    <row r="1562" spans="1:5" s="16" customFormat="1" ht="12.95" customHeight="1">
      <c r="A1562" s="26" t="s">
        <v>8369</v>
      </c>
      <c r="B1562" s="26"/>
      <c r="C1562" s="26" t="s">
        <v>8370</v>
      </c>
      <c r="D1562" s="26"/>
      <c r="E1562" s="26"/>
    </row>
    <row r="1563" spans="1:5" s="16" customFormat="1" ht="12.95" customHeight="1">
      <c r="A1563" s="26" t="s">
        <v>8371</v>
      </c>
      <c r="B1563" s="26"/>
      <c r="C1563" s="26" t="s">
        <v>8372</v>
      </c>
      <c r="D1563" s="26"/>
      <c r="E1563" s="26"/>
    </row>
    <row r="1564" spans="1:5" s="16" customFormat="1" ht="12.95" customHeight="1">
      <c r="A1564" s="26" t="s">
        <v>8373</v>
      </c>
      <c r="B1564" s="26"/>
      <c r="C1564" s="26" t="s">
        <v>8374</v>
      </c>
      <c r="D1564" s="26"/>
      <c r="E1564" s="26"/>
    </row>
    <row r="1565" spans="1:5" s="16" customFormat="1" ht="12.95" customHeight="1">
      <c r="A1565" s="26" t="s">
        <v>8375</v>
      </c>
      <c r="B1565" s="26"/>
      <c r="C1565" s="26" t="s">
        <v>8376</v>
      </c>
      <c r="D1565" s="26"/>
      <c r="E1565" s="26"/>
    </row>
    <row r="1566" spans="1:5" s="16" customFormat="1" ht="12.95" customHeight="1">
      <c r="A1566" s="26" t="s">
        <v>8377</v>
      </c>
      <c r="B1566" s="26"/>
      <c r="C1566" s="26" t="s">
        <v>8378</v>
      </c>
      <c r="D1566" s="26"/>
      <c r="E1566" s="26"/>
    </row>
    <row r="1567" spans="1:5" s="16" customFormat="1" ht="12.95" customHeight="1">
      <c r="A1567" s="26" t="s">
        <v>8379</v>
      </c>
      <c r="B1567" s="26"/>
      <c r="C1567" s="26" t="s">
        <v>8380</v>
      </c>
      <c r="D1567" s="26"/>
      <c r="E1567" s="26"/>
    </row>
    <row r="1568" spans="1:5" s="16" customFormat="1" ht="26.1" customHeight="1">
      <c r="A1568" s="26" t="s">
        <v>8381</v>
      </c>
      <c r="B1568" s="26"/>
      <c r="C1568" s="26" t="s">
        <v>8382</v>
      </c>
      <c r="D1568" s="26"/>
      <c r="E1568" s="26"/>
    </row>
    <row r="1569" spans="1:5" s="16" customFormat="1" ht="12.95" customHeight="1">
      <c r="A1569" s="26" t="s">
        <v>8383</v>
      </c>
      <c r="B1569" s="26"/>
      <c r="C1569" s="26" t="s">
        <v>8384</v>
      </c>
      <c r="D1569" s="26"/>
      <c r="E1569" s="26"/>
    </row>
    <row r="1570" spans="1:5" s="16" customFormat="1" ht="12.95" customHeight="1">
      <c r="A1570" s="26" t="s">
        <v>8385</v>
      </c>
      <c r="B1570" s="26"/>
      <c r="C1570" s="26" t="s">
        <v>8386</v>
      </c>
      <c r="D1570" s="26"/>
      <c r="E1570" s="26"/>
    </row>
    <row r="1571" spans="1:5" s="16" customFormat="1" ht="12.95" customHeight="1">
      <c r="A1571" s="26" t="s">
        <v>8387</v>
      </c>
      <c r="B1571" s="26"/>
      <c r="C1571" s="26" t="s">
        <v>8388</v>
      </c>
      <c r="D1571" s="26"/>
      <c r="E1571" s="26"/>
    </row>
    <row r="1572" spans="1:5" s="16" customFormat="1" ht="12.95" customHeight="1">
      <c r="A1572" s="26" t="s">
        <v>8389</v>
      </c>
      <c r="B1572" s="26"/>
      <c r="C1572" s="26" t="s">
        <v>8390</v>
      </c>
      <c r="D1572" s="26"/>
      <c r="E1572" s="26"/>
    </row>
    <row r="1573" spans="1:5" s="16" customFormat="1" ht="12.95" customHeight="1">
      <c r="A1573" s="26" t="s">
        <v>8391</v>
      </c>
      <c r="B1573" s="26"/>
      <c r="C1573" s="26" t="s">
        <v>8392</v>
      </c>
      <c r="D1573" s="26"/>
      <c r="E1573" s="26"/>
    </row>
    <row r="1574" spans="1:5" s="16" customFormat="1" ht="12.95" customHeight="1">
      <c r="A1574" s="26" t="s">
        <v>8393</v>
      </c>
      <c r="B1574" s="26"/>
      <c r="C1574" s="26" t="s">
        <v>8394</v>
      </c>
      <c r="D1574" s="26"/>
      <c r="E1574" s="26"/>
    </row>
    <row r="1575" spans="1:5" s="16" customFormat="1" ht="12.95" customHeight="1">
      <c r="A1575" s="26" t="s">
        <v>8395</v>
      </c>
      <c r="B1575" s="26"/>
      <c r="C1575" s="26" t="s">
        <v>8396</v>
      </c>
      <c r="D1575" s="26"/>
      <c r="E1575" s="26"/>
    </row>
    <row r="1576" spans="1:5" s="16" customFormat="1" ht="12.95" customHeight="1">
      <c r="A1576" s="26" t="s">
        <v>8397</v>
      </c>
      <c r="B1576" s="26"/>
      <c r="C1576" s="26" t="s">
        <v>8392</v>
      </c>
      <c r="D1576" s="26"/>
      <c r="E1576" s="26"/>
    </row>
    <row r="1577" spans="1:5" s="16" customFormat="1" ht="12.95" customHeight="1">
      <c r="A1577" s="26" t="s">
        <v>8398</v>
      </c>
      <c r="B1577" s="26"/>
      <c r="C1577" s="26" t="s">
        <v>8394</v>
      </c>
      <c r="D1577" s="26"/>
      <c r="E1577" s="26"/>
    </row>
    <row r="1578" spans="1:5" s="16" customFormat="1" ht="12.95" customHeight="1">
      <c r="A1578" s="26" t="s">
        <v>8399</v>
      </c>
      <c r="B1578" s="26"/>
      <c r="C1578" s="26" t="s">
        <v>8396</v>
      </c>
      <c r="D1578" s="26"/>
      <c r="E1578" s="26"/>
    </row>
    <row r="1579" spans="1:5" s="16" customFormat="1" ht="12.95" customHeight="1">
      <c r="A1579" s="26" t="s">
        <v>8400</v>
      </c>
      <c r="B1579" s="26"/>
      <c r="C1579" s="26" t="s">
        <v>8401</v>
      </c>
      <c r="D1579" s="26"/>
      <c r="E1579" s="26"/>
    </row>
    <row r="1580" spans="1:5" s="16" customFormat="1" ht="12.95" customHeight="1">
      <c r="A1580" s="26" t="s">
        <v>8402</v>
      </c>
      <c r="B1580" s="26"/>
      <c r="C1580" s="26" t="s">
        <v>8403</v>
      </c>
      <c r="D1580" s="26"/>
      <c r="E1580" s="26"/>
    </row>
    <row r="1581" spans="1:5" s="16" customFormat="1" ht="12.95" customHeight="1">
      <c r="A1581" s="26" t="s">
        <v>8404</v>
      </c>
      <c r="B1581" s="26"/>
      <c r="C1581" s="26" t="s">
        <v>8405</v>
      </c>
      <c r="D1581" s="26"/>
      <c r="E1581" s="26"/>
    </row>
    <row r="1582" spans="1:5" s="16" customFormat="1" ht="12.95" customHeight="1">
      <c r="A1582" s="26" t="s">
        <v>8406</v>
      </c>
      <c r="B1582" s="26"/>
      <c r="C1582" s="26" t="s">
        <v>8407</v>
      </c>
      <c r="D1582" s="26"/>
      <c r="E1582" s="26"/>
    </row>
    <row r="1583" spans="1:5" s="16" customFormat="1" ht="12.95" customHeight="1">
      <c r="A1583" s="26" t="s">
        <v>8408</v>
      </c>
      <c r="B1583" s="26"/>
      <c r="C1583" s="26" t="s">
        <v>8409</v>
      </c>
      <c r="D1583" s="26"/>
      <c r="E1583" s="26"/>
    </row>
    <row r="1584" spans="1:5" s="16" customFormat="1" ht="12.95" customHeight="1">
      <c r="A1584" s="26" t="s">
        <v>8410</v>
      </c>
      <c r="B1584" s="26"/>
      <c r="C1584" s="26" t="s">
        <v>8411</v>
      </c>
      <c r="D1584" s="26"/>
      <c r="E1584" s="26"/>
    </row>
    <row r="1585" spans="1:5" s="16" customFormat="1" ht="12.95" customHeight="1">
      <c r="A1585" s="26" t="s">
        <v>8412</v>
      </c>
      <c r="B1585" s="26"/>
      <c r="C1585" s="26" t="s">
        <v>8413</v>
      </c>
      <c r="D1585" s="26"/>
      <c r="E1585" s="26"/>
    </row>
    <row r="1586" spans="1:5" s="16" customFormat="1" ht="12.95" customHeight="1">
      <c r="A1586" s="26" t="s">
        <v>8414</v>
      </c>
      <c r="B1586" s="26"/>
      <c r="C1586" s="26" t="s">
        <v>8415</v>
      </c>
      <c r="D1586" s="26"/>
      <c r="E1586" s="26"/>
    </row>
    <row r="1587" spans="1:5" s="16" customFormat="1" ht="12.95" customHeight="1">
      <c r="A1587" s="26" t="s">
        <v>8416</v>
      </c>
      <c r="B1587" s="26"/>
      <c r="C1587" s="26" t="s">
        <v>8417</v>
      </c>
      <c r="D1587" s="26"/>
      <c r="E1587" s="26"/>
    </row>
    <row r="1588" spans="1:5" s="16" customFormat="1" ht="12.95" customHeight="1">
      <c r="A1588" s="26" t="s">
        <v>8418</v>
      </c>
      <c r="B1588" s="26"/>
      <c r="C1588" s="26" t="s">
        <v>8419</v>
      </c>
      <c r="D1588" s="26"/>
      <c r="E1588" s="26"/>
    </row>
    <row r="1589" spans="1:5" s="16" customFormat="1" ht="12.95" customHeight="1">
      <c r="A1589" s="26" t="s">
        <v>8420</v>
      </c>
      <c r="B1589" s="26"/>
      <c r="C1589" s="26" t="s">
        <v>8421</v>
      </c>
      <c r="D1589" s="26"/>
      <c r="E1589" s="26"/>
    </row>
    <row r="1590" spans="1:5" s="16" customFormat="1" ht="12.95" customHeight="1">
      <c r="A1590" s="26" t="s">
        <v>8422</v>
      </c>
      <c r="B1590" s="26"/>
      <c r="C1590" s="26" t="s">
        <v>8423</v>
      </c>
      <c r="D1590" s="26"/>
      <c r="E1590" s="26"/>
    </row>
    <row r="1591" spans="1:5" s="16" customFormat="1" ht="12.95" customHeight="1">
      <c r="A1591" s="26" t="s">
        <v>8424</v>
      </c>
      <c r="B1591" s="26"/>
      <c r="C1591" s="26" t="s">
        <v>8425</v>
      </c>
      <c r="D1591" s="26"/>
      <c r="E1591" s="26"/>
    </row>
    <row r="1592" spans="1:5" s="16" customFormat="1" ht="12.95" customHeight="1">
      <c r="A1592" s="26" t="s">
        <v>8426</v>
      </c>
      <c r="B1592" s="26"/>
      <c r="C1592" s="26" t="s">
        <v>8427</v>
      </c>
      <c r="D1592" s="26"/>
      <c r="E1592" s="26"/>
    </row>
    <row r="1593" spans="1:5" s="16" customFormat="1" ht="12.95" customHeight="1">
      <c r="A1593" s="26" t="s">
        <v>8428</v>
      </c>
      <c r="B1593" s="26"/>
      <c r="C1593" s="26" t="s">
        <v>8429</v>
      </c>
      <c r="D1593" s="26"/>
      <c r="E1593" s="26"/>
    </row>
    <row r="1594" spans="1:5" s="16" customFormat="1" ht="12.95" customHeight="1">
      <c r="A1594" s="26" t="s">
        <v>8430</v>
      </c>
      <c r="B1594" s="26"/>
      <c r="C1594" s="26" t="s">
        <v>8431</v>
      </c>
      <c r="D1594" s="26"/>
      <c r="E1594" s="26"/>
    </row>
    <row r="1595" spans="1:5" s="16" customFormat="1" ht="12.95" customHeight="1">
      <c r="A1595" s="26" t="s">
        <v>8432</v>
      </c>
      <c r="B1595" s="26"/>
      <c r="C1595" s="26" t="s">
        <v>8433</v>
      </c>
      <c r="D1595" s="26"/>
      <c r="E1595" s="26"/>
    </row>
    <row r="1596" spans="1:5" s="16" customFormat="1" ht="12.95" customHeight="1">
      <c r="A1596" s="26" t="s">
        <v>8434</v>
      </c>
      <c r="B1596" s="26"/>
      <c r="C1596" s="26" t="s">
        <v>8433</v>
      </c>
      <c r="D1596" s="26"/>
      <c r="E1596" s="26"/>
    </row>
    <row r="1597" spans="1:5" s="16" customFormat="1" ht="12.95" customHeight="1">
      <c r="A1597" s="26" t="s">
        <v>8435</v>
      </c>
      <c r="B1597" s="26"/>
      <c r="C1597" s="26" t="s">
        <v>8436</v>
      </c>
      <c r="D1597" s="26"/>
      <c r="E1597" s="26"/>
    </row>
    <row r="1598" spans="1:5" s="16" customFormat="1" ht="12.95" customHeight="1">
      <c r="A1598" s="26" t="s">
        <v>8437</v>
      </c>
      <c r="B1598" s="26"/>
      <c r="C1598" s="26" t="s">
        <v>8438</v>
      </c>
      <c r="D1598" s="26"/>
      <c r="E1598" s="26"/>
    </row>
    <row r="1599" spans="1:5" s="16" customFormat="1" ht="12.95" customHeight="1">
      <c r="A1599" s="26" t="s">
        <v>8439</v>
      </c>
      <c r="B1599" s="26"/>
      <c r="C1599" s="26" t="s">
        <v>8440</v>
      </c>
      <c r="D1599" s="26"/>
      <c r="E1599" s="26"/>
    </row>
    <row r="1600" spans="1:5" s="16" customFormat="1" ht="12.95" customHeight="1">
      <c r="A1600" s="26" t="s">
        <v>8441</v>
      </c>
      <c r="B1600" s="26"/>
      <c r="C1600" s="26" t="s">
        <v>8442</v>
      </c>
      <c r="D1600" s="26"/>
      <c r="E1600" s="26"/>
    </row>
    <row r="1601" spans="1:5" s="16" customFormat="1" ht="12.95" customHeight="1">
      <c r="A1601" s="26" t="s">
        <v>8443</v>
      </c>
      <c r="B1601" s="26"/>
      <c r="C1601" s="26" t="s">
        <v>8444</v>
      </c>
      <c r="D1601" s="26"/>
      <c r="E1601" s="26"/>
    </row>
    <row r="1602" spans="1:5" s="16" customFormat="1" ht="12.95" customHeight="1">
      <c r="A1602" s="26" t="s">
        <v>8445</v>
      </c>
      <c r="B1602" s="26"/>
      <c r="C1602" s="26" t="s">
        <v>8446</v>
      </c>
      <c r="D1602" s="26"/>
      <c r="E1602" s="26"/>
    </row>
    <row r="1603" spans="1:5" s="16" customFormat="1" ht="12.95" customHeight="1">
      <c r="A1603" s="26" t="s">
        <v>8447</v>
      </c>
      <c r="B1603" s="26"/>
      <c r="C1603" s="26" t="s">
        <v>8448</v>
      </c>
      <c r="D1603" s="26"/>
      <c r="E1603" s="26"/>
    </row>
    <row r="1604" spans="1:5" s="16" customFormat="1" ht="12.95" customHeight="1">
      <c r="A1604" s="26" t="s">
        <v>8449</v>
      </c>
      <c r="B1604" s="26"/>
      <c r="C1604" s="26" t="s">
        <v>8450</v>
      </c>
      <c r="D1604" s="26"/>
      <c r="E1604" s="26"/>
    </row>
    <row r="1605" spans="1:5" s="16" customFormat="1" ht="12.95" customHeight="1">
      <c r="A1605" s="26" t="s">
        <v>8451</v>
      </c>
      <c r="B1605" s="26"/>
      <c r="C1605" s="26" t="s">
        <v>8452</v>
      </c>
      <c r="D1605" s="26"/>
      <c r="E1605" s="26"/>
    </row>
    <row r="1606" spans="1:5" s="16" customFormat="1" ht="12.95" customHeight="1">
      <c r="A1606" s="26" t="s">
        <v>8453</v>
      </c>
      <c r="B1606" s="26"/>
      <c r="C1606" s="26" t="s">
        <v>8454</v>
      </c>
      <c r="D1606" s="26"/>
      <c r="E1606" s="26"/>
    </row>
    <row r="1607" spans="1:5" s="16" customFormat="1" ht="12.95" customHeight="1">
      <c r="A1607" s="26" t="s">
        <v>8455</v>
      </c>
      <c r="B1607" s="26"/>
      <c r="C1607" s="26" t="s">
        <v>8456</v>
      </c>
      <c r="D1607" s="26"/>
      <c r="E1607" s="26"/>
    </row>
    <row r="1608" spans="1:5" s="16" customFormat="1" ht="12.95" customHeight="1">
      <c r="A1608" s="26" t="s">
        <v>8457</v>
      </c>
      <c r="B1608" s="26"/>
      <c r="C1608" s="26" t="s">
        <v>8458</v>
      </c>
      <c r="D1608" s="26"/>
      <c r="E1608" s="26"/>
    </row>
    <row r="1609" spans="1:5" s="16" customFormat="1" ht="12.95" customHeight="1">
      <c r="A1609" s="26" t="s">
        <v>8459</v>
      </c>
      <c r="B1609" s="26"/>
      <c r="C1609" s="26" t="s">
        <v>8454</v>
      </c>
      <c r="D1609" s="26"/>
      <c r="E1609" s="26"/>
    </row>
    <row r="1610" spans="1:5" s="16" customFormat="1" ht="12.95" customHeight="1">
      <c r="A1610" s="26" t="s">
        <v>8460</v>
      </c>
      <c r="B1610" s="26"/>
      <c r="C1610" s="26" t="s">
        <v>8458</v>
      </c>
      <c r="D1610" s="26"/>
      <c r="E1610" s="26"/>
    </row>
    <row r="1611" spans="1:5" s="16" customFormat="1" ht="12.95" customHeight="1">
      <c r="A1611" s="26" t="s">
        <v>8461</v>
      </c>
      <c r="B1611" s="26"/>
      <c r="C1611" s="26" t="s">
        <v>8456</v>
      </c>
      <c r="D1611" s="26"/>
      <c r="E1611" s="26"/>
    </row>
    <row r="1612" spans="1:5" s="16" customFormat="1" ht="12.95" customHeight="1">
      <c r="A1612" s="26" t="s">
        <v>8462</v>
      </c>
      <c r="B1612" s="26"/>
      <c r="C1612" s="26" t="s">
        <v>8463</v>
      </c>
      <c r="D1612" s="26"/>
      <c r="E1612" s="26"/>
    </row>
    <row r="1613" spans="1:5" s="16" customFormat="1" ht="12.95" customHeight="1">
      <c r="A1613" s="26" t="s">
        <v>8464</v>
      </c>
      <c r="B1613" s="26"/>
      <c r="C1613" s="26" t="s">
        <v>8465</v>
      </c>
      <c r="D1613" s="26"/>
      <c r="E1613" s="26"/>
    </row>
    <row r="1614" spans="1:5" s="16" customFormat="1" ht="12.95" customHeight="1">
      <c r="A1614" s="26" t="s">
        <v>8466</v>
      </c>
      <c r="B1614" s="26"/>
      <c r="C1614" s="26" t="s">
        <v>8467</v>
      </c>
      <c r="D1614" s="26"/>
      <c r="E1614" s="26"/>
    </row>
    <row r="1615" spans="1:5" s="16" customFormat="1" ht="12.95" customHeight="1">
      <c r="A1615" s="26" t="s">
        <v>8468</v>
      </c>
      <c r="B1615" s="26"/>
      <c r="C1615" s="26" t="s">
        <v>8469</v>
      </c>
      <c r="D1615" s="26"/>
      <c r="E1615" s="26"/>
    </row>
    <row r="1616" spans="1:5" s="16" customFormat="1" ht="12.95" customHeight="1">
      <c r="A1616" s="26" t="s">
        <v>478</v>
      </c>
      <c r="B1616" s="26"/>
      <c r="C1616" s="26" t="s">
        <v>8470</v>
      </c>
      <c r="D1616" s="26"/>
      <c r="E1616" s="26"/>
    </row>
    <row r="1617" spans="1:5" s="16" customFormat="1" ht="12.95" customHeight="1">
      <c r="A1617" s="26" t="s">
        <v>8471</v>
      </c>
      <c r="B1617" s="26"/>
      <c r="C1617" s="26" t="s">
        <v>8472</v>
      </c>
      <c r="D1617" s="26"/>
      <c r="E1617" s="26"/>
    </row>
    <row r="1618" spans="1:5" s="16" customFormat="1" ht="12.95" customHeight="1">
      <c r="A1618" s="26" t="s">
        <v>8473</v>
      </c>
      <c r="B1618" s="26"/>
      <c r="C1618" s="26" t="s">
        <v>8474</v>
      </c>
      <c r="D1618" s="26"/>
      <c r="E1618" s="26"/>
    </row>
    <row r="1619" spans="1:5" s="16" customFormat="1" ht="12.95" customHeight="1">
      <c r="A1619" s="26" t="s">
        <v>8475</v>
      </c>
      <c r="B1619" s="26"/>
      <c r="C1619" s="26" t="s">
        <v>8476</v>
      </c>
      <c r="D1619" s="26"/>
      <c r="E1619" s="26"/>
    </row>
    <row r="1620" spans="1:5" s="16" customFormat="1" ht="12.95" customHeight="1">
      <c r="A1620" s="26" t="s">
        <v>8477</v>
      </c>
      <c r="B1620" s="26"/>
      <c r="C1620" s="26" t="s">
        <v>8478</v>
      </c>
      <c r="D1620" s="26"/>
      <c r="E1620" s="26"/>
    </row>
    <row r="1621" spans="1:5" s="16" customFormat="1" ht="12.95" customHeight="1">
      <c r="A1621" s="26" t="s">
        <v>8479</v>
      </c>
      <c r="B1621" s="26"/>
      <c r="C1621" s="26" t="s">
        <v>8480</v>
      </c>
      <c r="D1621" s="26"/>
      <c r="E1621" s="26"/>
    </row>
    <row r="1622" spans="1:5" s="16" customFormat="1" ht="12.95" customHeight="1">
      <c r="A1622" s="26" t="s">
        <v>8481</v>
      </c>
      <c r="B1622" s="26"/>
      <c r="C1622" s="26" t="s">
        <v>8482</v>
      </c>
      <c r="D1622" s="26"/>
      <c r="E1622" s="26"/>
    </row>
    <row r="1623" spans="1:5" s="16" customFormat="1" ht="12.95" customHeight="1">
      <c r="A1623" s="26" t="s">
        <v>8483</v>
      </c>
      <c r="B1623" s="26"/>
      <c r="C1623" s="26" t="s">
        <v>8484</v>
      </c>
      <c r="D1623" s="26"/>
      <c r="E1623" s="26"/>
    </row>
    <row r="1624" spans="1:5" s="16" customFormat="1" ht="12.95" customHeight="1">
      <c r="A1624" s="26" t="s">
        <v>8485</v>
      </c>
      <c r="B1624" s="26"/>
      <c r="C1624" s="26" t="s">
        <v>8486</v>
      </c>
      <c r="D1624" s="26"/>
      <c r="E1624" s="26"/>
    </row>
    <row r="1625" spans="1:5" s="16" customFormat="1" ht="12.95" customHeight="1">
      <c r="A1625" s="26" t="s">
        <v>8487</v>
      </c>
      <c r="B1625" s="26"/>
      <c r="C1625" s="26" t="s">
        <v>8486</v>
      </c>
      <c r="D1625" s="26"/>
      <c r="E1625" s="26"/>
    </row>
    <row r="1626" spans="1:5" s="16" customFormat="1" ht="12.95" customHeight="1">
      <c r="A1626" s="26" t="s">
        <v>8488</v>
      </c>
      <c r="B1626" s="26"/>
      <c r="C1626" s="26" t="s">
        <v>8489</v>
      </c>
      <c r="D1626" s="26"/>
      <c r="E1626" s="26"/>
    </row>
    <row r="1627" spans="1:5" s="16" customFormat="1" ht="12.95" customHeight="1">
      <c r="A1627" s="26" t="s">
        <v>4170</v>
      </c>
      <c r="B1627" s="26"/>
      <c r="C1627" s="26" t="s">
        <v>8490</v>
      </c>
      <c r="D1627" s="26"/>
      <c r="E1627" s="26"/>
    </row>
    <row r="1628" spans="1:5" s="16" customFormat="1" ht="12.95" customHeight="1">
      <c r="A1628" s="26" t="s">
        <v>8491</v>
      </c>
      <c r="B1628" s="26"/>
      <c r="C1628" s="26" t="s">
        <v>8492</v>
      </c>
      <c r="D1628" s="26"/>
      <c r="E1628" s="26"/>
    </row>
    <row r="1629" spans="1:5" s="16" customFormat="1" ht="12.95" customHeight="1">
      <c r="A1629" s="26" t="s">
        <v>8493</v>
      </c>
      <c r="B1629" s="26"/>
      <c r="C1629" s="26" t="s">
        <v>8494</v>
      </c>
      <c r="D1629" s="26"/>
      <c r="E1629" s="26"/>
    </row>
    <row r="1630" spans="1:5" s="16" customFormat="1" ht="12.95" customHeight="1">
      <c r="A1630" s="26" t="s">
        <v>8495</v>
      </c>
      <c r="B1630" s="26"/>
      <c r="C1630" s="26" t="s">
        <v>8496</v>
      </c>
      <c r="D1630" s="26"/>
      <c r="E1630" s="26"/>
    </row>
    <row r="1631" spans="1:5" s="16" customFormat="1" ht="12.95" customHeight="1">
      <c r="A1631" s="26" t="s">
        <v>8497</v>
      </c>
      <c r="B1631" s="26"/>
      <c r="C1631" s="26" t="s">
        <v>8498</v>
      </c>
      <c r="D1631" s="26"/>
      <c r="E1631" s="26"/>
    </row>
    <row r="1632" spans="1:5" s="16" customFormat="1" ht="12.95" customHeight="1">
      <c r="A1632" s="26" t="s">
        <v>8499</v>
      </c>
      <c r="B1632" s="26"/>
      <c r="C1632" s="26" t="s">
        <v>8492</v>
      </c>
      <c r="D1632" s="26"/>
      <c r="E1632" s="26"/>
    </row>
    <row r="1633" spans="1:5" s="16" customFormat="1" ht="12.95" customHeight="1">
      <c r="A1633" s="26" t="s">
        <v>8500</v>
      </c>
      <c r="B1633" s="26"/>
      <c r="C1633" s="26" t="s">
        <v>8501</v>
      </c>
      <c r="D1633" s="26"/>
      <c r="E1633" s="26"/>
    </row>
    <row r="1634" spans="1:5" s="16" customFormat="1" ht="12.95" customHeight="1">
      <c r="A1634" s="26" t="s">
        <v>8502</v>
      </c>
      <c r="B1634" s="26"/>
      <c r="C1634" s="26" t="s">
        <v>8503</v>
      </c>
      <c r="D1634" s="26"/>
      <c r="E1634" s="26"/>
    </row>
    <row r="1635" spans="1:5" s="16" customFormat="1" ht="12.95" customHeight="1">
      <c r="A1635" s="26" t="s">
        <v>8504</v>
      </c>
      <c r="B1635" s="26"/>
      <c r="C1635" s="26" t="s">
        <v>8505</v>
      </c>
      <c r="D1635" s="26"/>
      <c r="E1635" s="26"/>
    </row>
    <row r="1636" spans="1:5" s="16" customFormat="1" ht="12.95" customHeight="1">
      <c r="A1636" s="26" t="s">
        <v>8506</v>
      </c>
      <c r="B1636" s="26"/>
      <c r="C1636" s="26" t="s">
        <v>8507</v>
      </c>
      <c r="D1636" s="26"/>
      <c r="E1636" s="26"/>
    </row>
    <row r="1637" spans="1:5" s="16" customFormat="1" ht="12.95" customHeight="1">
      <c r="A1637" s="26" t="s">
        <v>8508</v>
      </c>
      <c r="B1637" s="26"/>
      <c r="C1637" s="26" t="s">
        <v>8507</v>
      </c>
      <c r="D1637" s="26"/>
      <c r="E1637" s="26"/>
    </row>
    <row r="1638" spans="1:5" s="16" customFormat="1" ht="12.95" customHeight="1">
      <c r="A1638" s="26" t="s">
        <v>8509</v>
      </c>
      <c r="B1638" s="26"/>
      <c r="C1638" s="26" t="s">
        <v>8510</v>
      </c>
      <c r="D1638" s="26"/>
      <c r="E1638" s="26"/>
    </row>
    <row r="1639" spans="1:5" s="16" customFormat="1" ht="12.95" customHeight="1">
      <c r="A1639" s="26" t="s">
        <v>8511</v>
      </c>
      <c r="B1639" s="26"/>
      <c r="C1639" s="26" t="s">
        <v>8512</v>
      </c>
      <c r="D1639" s="26"/>
      <c r="E1639" s="26"/>
    </row>
    <row r="1640" spans="1:5" s="16" customFormat="1" ht="12.95" customHeight="1">
      <c r="A1640" s="26" t="s">
        <v>8513</v>
      </c>
      <c r="B1640" s="26"/>
      <c r="C1640" s="26" t="s">
        <v>8514</v>
      </c>
      <c r="D1640" s="26"/>
      <c r="E1640" s="26"/>
    </row>
    <row r="1641" spans="1:5" s="16" customFormat="1" ht="12.95" customHeight="1">
      <c r="A1641" s="26" t="s">
        <v>8515</v>
      </c>
      <c r="B1641" s="26"/>
      <c r="C1641" s="26" t="s">
        <v>8516</v>
      </c>
      <c r="D1641" s="26"/>
      <c r="E1641" s="26"/>
    </row>
    <row r="1642" spans="1:5" s="16" customFormat="1" ht="12.95" customHeight="1">
      <c r="A1642" s="26" t="s">
        <v>8517</v>
      </c>
      <c r="B1642" s="26"/>
      <c r="C1642" s="26" t="s">
        <v>8518</v>
      </c>
      <c r="D1642" s="26"/>
      <c r="E1642" s="26"/>
    </row>
    <row r="1643" spans="1:5" s="16" customFormat="1" ht="12.95" customHeight="1">
      <c r="A1643" s="26" t="s">
        <v>8519</v>
      </c>
      <c r="B1643" s="26"/>
      <c r="C1643" s="26" t="s">
        <v>8520</v>
      </c>
      <c r="D1643" s="26"/>
      <c r="E1643" s="26"/>
    </row>
    <row r="1644" spans="1:5" s="16" customFormat="1" ht="12.95" customHeight="1">
      <c r="A1644" s="26" t="s">
        <v>8521</v>
      </c>
      <c r="B1644" s="26"/>
      <c r="C1644" s="26" t="s">
        <v>8522</v>
      </c>
      <c r="D1644" s="26"/>
      <c r="E1644" s="26"/>
    </row>
    <row r="1645" spans="1:5" s="16" customFormat="1" ht="12.95" customHeight="1">
      <c r="A1645" s="26" t="s">
        <v>8523</v>
      </c>
      <c r="B1645" s="26"/>
      <c r="C1645" s="26" t="s">
        <v>8524</v>
      </c>
      <c r="D1645" s="26"/>
      <c r="E1645" s="26"/>
    </row>
    <row r="1646" spans="1:5" s="16" customFormat="1" ht="12.95" customHeight="1">
      <c r="A1646" s="26" t="s">
        <v>8525</v>
      </c>
      <c r="B1646" s="26"/>
      <c r="C1646" s="26" t="s">
        <v>8526</v>
      </c>
      <c r="D1646" s="26"/>
      <c r="E1646" s="26"/>
    </row>
    <row r="1647" spans="1:5" s="16" customFormat="1" ht="12.95" customHeight="1">
      <c r="A1647" s="26" t="s">
        <v>8527</v>
      </c>
      <c r="B1647" s="26"/>
      <c r="C1647" s="26" t="s">
        <v>8528</v>
      </c>
      <c r="D1647" s="26"/>
      <c r="E1647" s="26"/>
    </row>
    <row r="1648" spans="1:5" s="16" customFormat="1" ht="12.95" customHeight="1">
      <c r="A1648" s="26" t="s">
        <v>8529</v>
      </c>
      <c r="B1648" s="26"/>
      <c r="C1648" s="26" t="s">
        <v>8530</v>
      </c>
      <c r="D1648" s="26"/>
      <c r="E1648" s="26"/>
    </row>
    <row r="1649" spans="1:5" s="16" customFormat="1" ht="12.95" customHeight="1">
      <c r="A1649" s="26" t="s">
        <v>8531</v>
      </c>
      <c r="B1649" s="26"/>
      <c r="C1649" s="26" t="s">
        <v>8532</v>
      </c>
      <c r="D1649" s="26"/>
      <c r="E1649" s="26"/>
    </row>
    <row r="1650" spans="1:5" s="16" customFormat="1" ht="12.95" customHeight="1">
      <c r="A1650" s="26" t="s">
        <v>8533</v>
      </c>
      <c r="B1650" s="26"/>
      <c r="C1650" s="26" t="s">
        <v>8534</v>
      </c>
      <c r="D1650" s="26"/>
      <c r="E1650" s="26"/>
    </row>
    <row r="1651" spans="1:5" s="16" customFormat="1" ht="12.95" customHeight="1">
      <c r="A1651" s="26" t="s">
        <v>8535</v>
      </c>
      <c r="B1651" s="26"/>
      <c r="C1651" s="26" t="s">
        <v>8536</v>
      </c>
      <c r="D1651" s="26"/>
      <c r="E1651" s="26"/>
    </row>
    <row r="1652" spans="1:5" s="16" customFormat="1" ht="12.95" customHeight="1">
      <c r="A1652" s="26" t="s">
        <v>8537</v>
      </c>
      <c r="B1652" s="26"/>
      <c r="C1652" s="26" t="s">
        <v>8538</v>
      </c>
      <c r="D1652" s="26"/>
      <c r="E1652" s="26"/>
    </row>
    <row r="1653" spans="1:5" s="16" customFormat="1" ht="12.95" customHeight="1">
      <c r="A1653" s="26" t="s">
        <v>8539</v>
      </c>
      <c r="B1653" s="26"/>
      <c r="C1653" s="26" t="s">
        <v>8540</v>
      </c>
      <c r="D1653" s="26"/>
      <c r="E1653" s="26"/>
    </row>
    <row r="1654" spans="1:5" s="16" customFormat="1" ht="12.95" customHeight="1">
      <c r="A1654" s="26" t="s">
        <v>8541</v>
      </c>
      <c r="B1654" s="26"/>
      <c r="C1654" s="26" t="s">
        <v>8542</v>
      </c>
      <c r="D1654" s="26"/>
      <c r="E1654" s="26"/>
    </row>
    <row r="1655" spans="1:5" s="16" customFormat="1" ht="12.95" customHeight="1">
      <c r="A1655" s="26" t="s">
        <v>8543</v>
      </c>
      <c r="B1655" s="26"/>
      <c r="C1655" s="26" t="s">
        <v>8544</v>
      </c>
      <c r="D1655" s="26"/>
      <c r="E1655" s="26"/>
    </row>
    <row r="1656" spans="1:5" s="16" customFormat="1" ht="12.95" customHeight="1">
      <c r="A1656" s="26" t="s">
        <v>8545</v>
      </c>
      <c r="B1656" s="26"/>
      <c r="C1656" s="26" t="s">
        <v>8501</v>
      </c>
      <c r="D1656" s="26"/>
      <c r="E1656" s="26"/>
    </row>
    <row r="1657" spans="1:5" s="16" customFormat="1" ht="12.95" customHeight="1">
      <c r="A1657" s="26" t="s">
        <v>8546</v>
      </c>
      <c r="B1657" s="26"/>
      <c r="C1657" s="26" t="s">
        <v>8547</v>
      </c>
      <c r="D1657" s="26"/>
      <c r="E1657" s="26"/>
    </row>
    <row r="1658" spans="1:5" s="16" customFormat="1" ht="12.95" customHeight="1">
      <c r="A1658" s="26" t="s">
        <v>8548</v>
      </c>
      <c r="B1658" s="26"/>
      <c r="C1658" s="26" t="s">
        <v>8549</v>
      </c>
      <c r="D1658" s="26"/>
      <c r="E1658" s="26"/>
    </row>
    <row r="1659" spans="1:5" s="16" customFormat="1" ht="12.95" customHeight="1">
      <c r="A1659" s="26" t="s">
        <v>8550</v>
      </c>
      <c r="B1659" s="26"/>
      <c r="C1659" s="26" t="s">
        <v>8551</v>
      </c>
      <c r="D1659" s="26"/>
      <c r="E1659" s="26"/>
    </row>
    <row r="1660" spans="1:5" s="16" customFormat="1" ht="12.95" customHeight="1">
      <c r="A1660" s="26" t="s">
        <v>8552</v>
      </c>
      <c r="B1660" s="26"/>
      <c r="C1660" s="26" t="s">
        <v>8553</v>
      </c>
      <c r="D1660" s="26"/>
      <c r="E1660" s="26"/>
    </row>
    <row r="1661" spans="1:5" s="16" customFormat="1" ht="12.95" customHeight="1">
      <c r="A1661" s="26" t="s">
        <v>8554</v>
      </c>
      <c r="B1661" s="26"/>
      <c r="C1661" s="26" t="s">
        <v>8555</v>
      </c>
      <c r="D1661" s="26"/>
      <c r="E1661" s="26"/>
    </row>
    <row r="1662" spans="1:5" s="16" customFormat="1" ht="12.95" customHeight="1">
      <c r="A1662" s="26" t="s">
        <v>8556</v>
      </c>
      <c r="B1662" s="26"/>
      <c r="C1662" s="26" t="s">
        <v>8557</v>
      </c>
      <c r="D1662" s="26"/>
      <c r="E1662" s="26"/>
    </row>
    <row r="1663" spans="1:5" s="16" customFormat="1" ht="12.95" customHeight="1">
      <c r="A1663" s="26" t="s">
        <v>8558</v>
      </c>
      <c r="B1663" s="26"/>
      <c r="C1663" s="26" t="s">
        <v>8559</v>
      </c>
      <c r="D1663" s="26"/>
      <c r="E1663" s="26"/>
    </row>
    <row r="1664" spans="1:5" s="16" customFormat="1" ht="12.95" customHeight="1">
      <c r="A1664" s="26" t="s">
        <v>8560</v>
      </c>
      <c r="B1664" s="26"/>
      <c r="C1664" s="26" t="s">
        <v>8561</v>
      </c>
      <c r="D1664" s="26"/>
      <c r="E1664" s="26"/>
    </row>
    <row r="1665" spans="1:5" s="16" customFormat="1" ht="12.95" customHeight="1">
      <c r="A1665" s="26" t="s">
        <v>8562</v>
      </c>
      <c r="B1665" s="26"/>
      <c r="C1665" s="26" t="s">
        <v>8563</v>
      </c>
      <c r="D1665" s="26"/>
      <c r="E1665" s="26"/>
    </row>
    <row r="1666" spans="1:5" s="16" customFormat="1" ht="12.95" customHeight="1">
      <c r="A1666" s="26" t="s">
        <v>8564</v>
      </c>
      <c r="B1666" s="26"/>
      <c r="C1666" s="26" t="s">
        <v>8565</v>
      </c>
      <c r="D1666" s="26"/>
      <c r="E1666" s="26"/>
    </row>
    <row r="1667" spans="1:5" s="16" customFormat="1" ht="12.95" customHeight="1">
      <c r="A1667" s="26" t="s">
        <v>8566</v>
      </c>
      <c r="B1667" s="26"/>
      <c r="C1667" s="26" t="s">
        <v>8567</v>
      </c>
      <c r="D1667" s="26"/>
      <c r="E1667" s="26"/>
    </row>
    <row r="1668" spans="1:5" s="16" customFormat="1" ht="12.95" customHeight="1">
      <c r="A1668" s="26" t="s">
        <v>8568</v>
      </c>
      <c r="B1668" s="26"/>
      <c r="C1668" s="26" t="s">
        <v>8569</v>
      </c>
      <c r="D1668" s="26"/>
      <c r="E1668" s="26"/>
    </row>
    <row r="1669" spans="1:5" s="16" customFormat="1" ht="12.95" customHeight="1">
      <c r="A1669" s="26" t="s">
        <v>8570</v>
      </c>
      <c r="B1669" s="26"/>
      <c r="C1669" s="26" t="s">
        <v>8571</v>
      </c>
      <c r="D1669" s="26"/>
      <c r="E1669" s="26"/>
    </row>
    <row r="1670" spans="1:5" s="16" customFormat="1" ht="12.95" customHeight="1">
      <c r="A1670" s="26" t="s">
        <v>8572</v>
      </c>
      <c r="B1670" s="26"/>
      <c r="C1670" s="26" t="s">
        <v>8573</v>
      </c>
      <c r="D1670" s="26"/>
      <c r="E1670" s="26"/>
    </row>
    <row r="1671" spans="1:5" s="16" customFormat="1" ht="12.95" customHeight="1">
      <c r="A1671" s="26" t="s">
        <v>8574</v>
      </c>
      <c r="B1671" s="26"/>
      <c r="C1671" s="26" t="s">
        <v>8575</v>
      </c>
      <c r="D1671" s="26"/>
      <c r="E1671" s="26"/>
    </row>
    <row r="1672" spans="1:5" s="16" customFormat="1" ht="12.95" customHeight="1">
      <c r="A1672" s="26" t="s">
        <v>8576</v>
      </c>
      <c r="B1672" s="26"/>
      <c r="C1672" s="26" t="s">
        <v>8577</v>
      </c>
      <c r="D1672" s="26"/>
      <c r="E1672" s="26"/>
    </row>
    <row r="1673" spans="1:5" s="16" customFormat="1" ht="12.95" customHeight="1">
      <c r="A1673" s="26" t="s">
        <v>8578</v>
      </c>
      <c r="B1673" s="26"/>
      <c r="C1673" s="26" t="s">
        <v>8579</v>
      </c>
      <c r="D1673" s="26"/>
      <c r="E1673" s="26"/>
    </row>
    <row r="1674" spans="1:5" s="16" customFormat="1" ht="12.95" customHeight="1">
      <c r="A1674" s="26" t="s">
        <v>8580</v>
      </c>
      <c r="B1674" s="26"/>
      <c r="C1674" s="26" t="s">
        <v>8581</v>
      </c>
      <c r="D1674" s="26"/>
      <c r="E1674" s="26"/>
    </row>
    <row r="1675" spans="1:5" s="16" customFormat="1" ht="12.95" customHeight="1">
      <c r="A1675" s="26" t="s">
        <v>8582</v>
      </c>
      <c r="B1675" s="26"/>
      <c r="C1675" s="26" t="s">
        <v>8583</v>
      </c>
      <c r="D1675" s="26"/>
      <c r="E1675" s="26"/>
    </row>
    <row r="1676" spans="1:5" s="16" customFormat="1" ht="12.95" customHeight="1">
      <c r="A1676" s="26" t="s">
        <v>8584</v>
      </c>
      <c r="B1676" s="26"/>
      <c r="C1676" s="26" t="s">
        <v>8585</v>
      </c>
      <c r="D1676" s="26"/>
      <c r="E1676" s="26"/>
    </row>
    <row r="1677" spans="1:5" s="16" customFormat="1" ht="12.95" customHeight="1">
      <c r="A1677" s="26" t="s">
        <v>8586</v>
      </c>
      <c r="B1677" s="26"/>
      <c r="C1677" s="26" t="s">
        <v>8587</v>
      </c>
      <c r="D1677" s="26"/>
      <c r="E1677" s="26"/>
    </row>
    <row r="1678" spans="1:5" s="16" customFormat="1" ht="12.95" customHeight="1">
      <c r="A1678" s="26" t="s">
        <v>8588</v>
      </c>
      <c r="B1678" s="26"/>
      <c r="C1678" s="26" t="s">
        <v>8589</v>
      </c>
      <c r="D1678" s="26"/>
      <c r="E1678" s="26"/>
    </row>
    <row r="1679" spans="1:5" s="16" customFormat="1" ht="12.95" customHeight="1">
      <c r="A1679" s="26" t="s">
        <v>8590</v>
      </c>
      <c r="B1679" s="26"/>
      <c r="C1679" s="26" t="s">
        <v>8591</v>
      </c>
      <c r="D1679" s="26"/>
      <c r="E1679" s="26"/>
    </row>
    <row r="1680" spans="1:5" s="16" customFormat="1" ht="12.95" customHeight="1">
      <c r="A1680" s="26" t="s">
        <v>8592</v>
      </c>
      <c r="B1680" s="26"/>
      <c r="C1680" s="26" t="s">
        <v>8593</v>
      </c>
      <c r="D1680" s="26"/>
      <c r="E1680" s="26"/>
    </row>
    <row r="1681" spans="1:5" s="16" customFormat="1" ht="12.95" customHeight="1">
      <c r="A1681" s="26" t="s">
        <v>8594</v>
      </c>
      <c r="B1681" s="26"/>
      <c r="C1681" s="26" t="s">
        <v>8595</v>
      </c>
      <c r="D1681" s="26"/>
      <c r="E1681" s="26"/>
    </row>
    <row r="1682" spans="1:5" s="16" customFormat="1" ht="12.95" customHeight="1">
      <c r="A1682" s="26" t="s">
        <v>8596</v>
      </c>
      <c r="B1682" s="26"/>
      <c r="C1682" s="26" t="s">
        <v>8597</v>
      </c>
      <c r="D1682" s="26"/>
      <c r="E1682" s="26"/>
    </row>
    <row r="1683" spans="1:5" s="16" customFormat="1" ht="12.95" customHeight="1">
      <c r="A1683" s="26" t="s">
        <v>8598</v>
      </c>
      <c r="B1683" s="26"/>
      <c r="C1683" s="26" t="s">
        <v>8599</v>
      </c>
      <c r="D1683" s="26"/>
      <c r="E1683" s="26"/>
    </row>
    <row r="1684" spans="1:5" s="16" customFormat="1" ht="12.95" customHeight="1">
      <c r="A1684" s="26" t="s">
        <v>8600</v>
      </c>
      <c r="B1684" s="26"/>
      <c r="C1684" s="26" t="s">
        <v>8601</v>
      </c>
      <c r="D1684" s="26"/>
      <c r="E1684" s="26"/>
    </row>
    <row r="1685" spans="1:5" s="16" customFormat="1" ht="12.95" customHeight="1">
      <c r="A1685" s="26" t="s">
        <v>8602</v>
      </c>
      <c r="B1685" s="26"/>
      <c r="C1685" s="26" t="s">
        <v>8603</v>
      </c>
      <c r="D1685" s="26"/>
      <c r="E1685" s="26"/>
    </row>
    <row r="1686" spans="1:5" s="16" customFormat="1" ht="12.95" customHeight="1">
      <c r="A1686" s="26" t="s">
        <v>8604</v>
      </c>
      <c r="B1686" s="26"/>
      <c r="C1686" s="26" t="s">
        <v>8605</v>
      </c>
      <c r="D1686" s="26"/>
      <c r="E1686" s="26"/>
    </row>
    <row r="1687" spans="1:5" s="16" customFormat="1" ht="12.95" customHeight="1">
      <c r="A1687" s="26" t="s">
        <v>8606</v>
      </c>
      <c r="B1687" s="26"/>
      <c r="C1687" s="26" t="s">
        <v>8607</v>
      </c>
      <c r="D1687" s="26"/>
      <c r="E1687" s="26"/>
    </row>
    <row r="1688" spans="1:5" s="16" customFormat="1" ht="12.95" customHeight="1">
      <c r="A1688" s="26" t="s">
        <v>8608</v>
      </c>
      <c r="B1688" s="26"/>
      <c r="C1688" s="26" t="s">
        <v>8609</v>
      </c>
      <c r="D1688" s="26"/>
      <c r="E1688" s="26"/>
    </row>
    <row r="1689" spans="1:5" s="16" customFormat="1" ht="12.95" customHeight="1">
      <c r="A1689" s="26" t="s">
        <v>8610</v>
      </c>
      <c r="B1689" s="26"/>
      <c r="C1689" s="26" t="s">
        <v>8505</v>
      </c>
      <c r="D1689" s="26"/>
      <c r="E1689" s="26"/>
    </row>
    <row r="1690" spans="1:5" s="16" customFormat="1" ht="12.95" customHeight="1">
      <c r="A1690" s="26" t="s">
        <v>8611</v>
      </c>
      <c r="B1690" s="26"/>
      <c r="C1690" s="26" t="s">
        <v>8612</v>
      </c>
      <c r="D1690" s="26"/>
      <c r="E1690" s="26"/>
    </row>
    <row r="1691" spans="1:5" s="16" customFormat="1" ht="12.95" customHeight="1">
      <c r="A1691" s="26" t="s">
        <v>8613</v>
      </c>
      <c r="B1691" s="26"/>
      <c r="C1691" s="26" t="s">
        <v>8614</v>
      </c>
      <c r="D1691" s="26"/>
      <c r="E1691" s="26"/>
    </row>
    <row r="1692" spans="1:5" s="16" customFormat="1" ht="12.95" customHeight="1">
      <c r="A1692" s="26" t="s">
        <v>8615</v>
      </c>
      <c r="B1692" s="26"/>
      <c r="C1692" s="26" t="s">
        <v>8616</v>
      </c>
      <c r="D1692" s="26"/>
      <c r="E1692" s="26"/>
    </row>
    <row r="1693" spans="1:5" s="16" customFormat="1" ht="12.95" customHeight="1">
      <c r="A1693" s="26" t="s">
        <v>8617</v>
      </c>
      <c r="B1693" s="26"/>
      <c r="C1693" s="26" t="s">
        <v>8618</v>
      </c>
      <c r="D1693" s="26"/>
      <c r="E1693" s="26"/>
    </row>
    <row r="1694" spans="1:5" s="16" customFormat="1" ht="12.95" customHeight="1">
      <c r="A1694" s="26" t="s">
        <v>8619</v>
      </c>
      <c r="B1694" s="26"/>
      <c r="C1694" s="26" t="s">
        <v>8620</v>
      </c>
      <c r="D1694" s="26"/>
      <c r="E1694" s="26"/>
    </row>
    <row r="1695" spans="1:5" s="16" customFormat="1" ht="12.95" customHeight="1">
      <c r="A1695" s="26" t="s">
        <v>8621</v>
      </c>
      <c r="B1695" s="26"/>
      <c r="C1695" s="26" t="s">
        <v>8622</v>
      </c>
      <c r="D1695" s="26"/>
      <c r="E1695" s="26"/>
    </row>
    <row r="1696" spans="1:5" s="16" customFormat="1" ht="12.95" customHeight="1">
      <c r="A1696" s="26" t="s">
        <v>8623</v>
      </c>
      <c r="B1696" s="26"/>
      <c r="C1696" s="26" t="s">
        <v>8624</v>
      </c>
      <c r="D1696" s="26"/>
      <c r="E1696" s="26"/>
    </row>
    <row r="1697" spans="1:5" s="16" customFormat="1" ht="12.95" customHeight="1">
      <c r="A1697" s="26" t="s">
        <v>8625</v>
      </c>
      <c r="B1697" s="26"/>
      <c r="C1697" s="26" t="s">
        <v>8626</v>
      </c>
      <c r="D1697" s="26"/>
      <c r="E1697" s="26"/>
    </row>
    <row r="1698" spans="1:5" s="16" customFormat="1" ht="12.95" customHeight="1">
      <c r="A1698" s="26" t="s">
        <v>8627</v>
      </c>
      <c r="B1698" s="26"/>
      <c r="C1698" s="26" t="s">
        <v>8628</v>
      </c>
      <c r="D1698" s="26"/>
      <c r="E1698" s="26"/>
    </row>
    <row r="1699" spans="1:5" s="16" customFormat="1" ht="12.95" customHeight="1">
      <c r="A1699" s="26" t="s">
        <v>8629</v>
      </c>
      <c r="B1699" s="26"/>
      <c r="C1699" s="26" t="s">
        <v>8630</v>
      </c>
      <c r="D1699" s="26"/>
      <c r="E1699" s="26"/>
    </row>
    <row r="1700" spans="1:5" s="16" customFormat="1" ht="12.95" customHeight="1">
      <c r="A1700" s="26" t="s">
        <v>8631</v>
      </c>
      <c r="B1700" s="26"/>
      <c r="C1700" s="26" t="s">
        <v>8632</v>
      </c>
      <c r="D1700" s="26"/>
      <c r="E1700" s="26"/>
    </row>
    <row r="1701" spans="1:5" s="16" customFormat="1" ht="12.95" customHeight="1">
      <c r="A1701" s="26" t="s">
        <v>8633</v>
      </c>
      <c r="B1701" s="26"/>
      <c r="C1701" s="26" t="s">
        <v>8634</v>
      </c>
      <c r="D1701" s="26"/>
      <c r="E1701" s="26"/>
    </row>
    <row r="1702" spans="1:5" s="16" customFormat="1" ht="12.95" customHeight="1">
      <c r="A1702" s="26" t="s">
        <v>8635</v>
      </c>
      <c r="B1702" s="26"/>
      <c r="C1702" s="26" t="s">
        <v>8636</v>
      </c>
      <c r="D1702" s="26"/>
      <c r="E1702" s="26"/>
    </row>
    <row r="1703" spans="1:5" s="16" customFormat="1" ht="12.95" customHeight="1">
      <c r="A1703" s="26" t="s">
        <v>8637</v>
      </c>
      <c r="B1703" s="26"/>
      <c r="C1703" s="26" t="s">
        <v>8638</v>
      </c>
      <c r="D1703" s="26"/>
      <c r="E1703" s="26"/>
    </row>
    <row r="1704" spans="1:5" s="16" customFormat="1" ht="12.95" customHeight="1">
      <c r="A1704" s="26" t="s">
        <v>8639</v>
      </c>
      <c r="B1704" s="26"/>
      <c r="C1704" s="26" t="s">
        <v>8640</v>
      </c>
      <c r="D1704" s="26"/>
      <c r="E1704" s="26"/>
    </row>
    <row r="1705" spans="1:5" s="16" customFormat="1" ht="12.95" customHeight="1">
      <c r="A1705" s="26" t="s">
        <v>8641</v>
      </c>
      <c r="B1705" s="26"/>
      <c r="C1705" s="26" t="s">
        <v>8642</v>
      </c>
      <c r="D1705" s="26"/>
      <c r="E1705" s="26"/>
    </row>
    <row r="1706" spans="1:5" s="16" customFormat="1" ht="12.95" customHeight="1">
      <c r="A1706" s="26" t="s">
        <v>8643</v>
      </c>
      <c r="B1706" s="26"/>
      <c r="C1706" s="26" t="s">
        <v>8644</v>
      </c>
      <c r="D1706" s="26"/>
      <c r="E1706" s="26"/>
    </row>
    <row r="1707" spans="1:5" s="16" customFormat="1" ht="12.95" customHeight="1">
      <c r="A1707" s="26" t="s">
        <v>8645</v>
      </c>
      <c r="B1707" s="26"/>
      <c r="C1707" s="26" t="s">
        <v>8646</v>
      </c>
      <c r="D1707" s="26"/>
      <c r="E1707" s="26"/>
    </row>
    <row r="1708" spans="1:5" s="16" customFormat="1" ht="12.95" customHeight="1">
      <c r="A1708" s="26" t="s">
        <v>8647</v>
      </c>
      <c r="B1708" s="26"/>
      <c r="C1708" s="26" t="s">
        <v>8648</v>
      </c>
      <c r="D1708" s="26"/>
      <c r="E1708" s="26"/>
    </row>
    <row r="1709" spans="1:5" s="16" customFormat="1" ht="12.95" customHeight="1">
      <c r="A1709" s="26" t="s">
        <v>8649</v>
      </c>
      <c r="B1709" s="26"/>
      <c r="C1709" s="26" t="s">
        <v>8650</v>
      </c>
      <c r="D1709" s="26"/>
      <c r="E1709" s="26"/>
    </row>
    <row r="1710" spans="1:5" s="16" customFormat="1" ht="12.95" customHeight="1">
      <c r="A1710" s="26" t="s">
        <v>8651</v>
      </c>
      <c r="B1710" s="26"/>
      <c r="C1710" s="26" t="s">
        <v>8652</v>
      </c>
      <c r="D1710" s="26"/>
      <c r="E1710" s="26"/>
    </row>
    <row r="1711" spans="1:5" s="16" customFormat="1" ht="12.95" customHeight="1">
      <c r="A1711" s="26" t="s">
        <v>8653</v>
      </c>
      <c r="B1711" s="26"/>
      <c r="C1711" s="26" t="s">
        <v>8654</v>
      </c>
      <c r="D1711" s="26"/>
      <c r="E1711" s="26"/>
    </row>
    <row r="1712" spans="1:5" s="16" customFormat="1" ht="12.95" customHeight="1">
      <c r="A1712" s="26" t="s">
        <v>8655</v>
      </c>
      <c r="B1712" s="26"/>
      <c r="C1712" s="26" t="s">
        <v>8656</v>
      </c>
      <c r="D1712" s="26"/>
      <c r="E1712" s="26"/>
    </row>
    <row r="1713" spans="1:5" s="16" customFormat="1" ht="12.95" customHeight="1">
      <c r="A1713" s="26" t="s">
        <v>8657</v>
      </c>
      <c r="B1713" s="26"/>
      <c r="C1713" s="26" t="s">
        <v>8658</v>
      </c>
      <c r="D1713" s="26"/>
      <c r="E1713" s="26"/>
    </row>
    <row r="1714" spans="1:5" s="16" customFormat="1" ht="12.95" customHeight="1">
      <c r="A1714" s="26" t="s">
        <v>8659</v>
      </c>
      <c r="B1714" s="26"/>
      <c r="C1714" s="26" t="s">
        <v>8660</v>
      </c>
      <c r="D1714" s="26"/>
      <c r="E1714" s="26"/>
    </row>
    <row r="1715" spans="1:5" s="16" customFormat="1" ht="12.95" customHeight="1">
      <c r="A1715" s="26" t="s">
        <v>8661</v>
      </c>
      <c r="B1715" s="26"/>
      <c r="C1715" s="26" t="s">
        <v>8662</v>
      </c>
      <c r="D1715" s="26"/>
      <c r="E1715" s="26"/>
    </row>
    <row r="1716" spans="1:5" s="16" customFormat="1" ht="12.95" customHeight="1">
      <c r="A1716" s="26" t="s">
        <v>8663</v>
      </c>
      <c r="B1716" s="26"/>
      <c r="C1716" s="26" t="s">
        <v>8664</v>
      </c>
      <c r="D1716" s="26"/>
      <c r="E1716" s="26"/>
    </row>
    <row r="1717" spans="1:5" s="16" customFormat="1" ht="12.95" customHeight="1">
      <c r="A1717" s="26" t="s">
        <v>8665</v>
      </c>
      <c r="B1717" s="26"/>
      <c r="C1717" s="26" t="s">
        <v>8666</v>
      </c>
      <c r="D1717" s="26"/>
      <c r="E1717" s="26"/>
    </row>
    <row r="1718" spans="1:5" s="16" customFormat="1" ht="12.95" customHeight="1">
      <c r="A1718" s="26" t="s">
        <v>8667</v>
      </c>
      <c r="B1718" s="26"/>
      <c r="C1718" s="26" t="s">
        <v>8664</v>
      </c>
      <c r="D1718" s="26"/>
      <c r="E1718" s="26"/>
    </row>
    <row r="1719" spans="1:5" s="16" customFormat="1" ht="12.95" customHeight="1">
      <c r="A1719" s="26" t="s">
        <v>8668</v>
      </c>
      <c r="B1719" s="26"/>
      <c r="C1719" s="26" t="s">
        <v>8664</v>
      </c>
      <c r="D1719" s="26"/>
      <c r="E1719" s="26"/>
    </row>
    <row r="1720" spans="1:5" s="16" customFormat="1" ht="12.95" customHeight="1">
      <c r="A1720" s="26" t="s">
        <v>8669</v>
      </c>
      <c r="B1720" s="26"/>
      <c r="C1720" s="26" t="s">
        <v>8664</v>
      </c>
      <c r="D1720" s="26"/>
      <c r="E1720" s="26"/>
    </row>
    <row r="1721" spans="1:5" s="16" customFormat="1" ht="12.95" customHeight="1">
      <c r="A1721" s="26" t="s">
        <v>8670</v>
      </c>
      <c r="B1721" s="26"/>
      <c r="C1721" s="26" t="s">
        <v>8671</v>
      </c>
      <c r="D1721" s="26"/>
      <c r="E1721" s="26"/>
    </row>
    <row r="1722" spans="1:5" s="16" customFormat="1" ht="12.95" customHeight="1">
      <c r="A1722" s="26" t="s">
        <v>8672</v>
      </c>
      <c r="B1722" s="26"/>
      <c r="C1722" s="26" t="s">
        <v>8673</v>
      </c>
      <c r="D1722" s="26"/>
      <c r="E1722" s="26"/>
    </row>
    <row r="1723" spans="1:5" s="16" customFormat="1" ht="12.95" customHeight="1">
      <c r="A1723" s="26" t="s">
        <v>8674</v>
      </c>
      <c r="B1723" s="26"/>
      <c r="C1723" s="26" t="s">
        <v>8675</v>
      </c>
      <c r="D1723" s="26"/>
      <c r="E1723" s="26"/>
    </row>
    <row r="1724" spans="1:5" s="16" customFormat="1" ht="12.95" customHeight="1">
      <c r="A1724" s="26" t="s">
        <v>8676</v>
      </c>
      <c r="B1724" s="26"/>
      <c r="C1724" s="26" t="s">
        <v>8677</v>
      </c>
      <c r="D1724" s="26"/>
      <c r="E1724" s="26"/>
    </row>
    <row r="1725" spans="1:5" s="16" customFormat="1" ht="12.95" customHeight="1">
      <c r="A1725" s="26" t="s">
        <v>8678</v>
      </c>
      <c r="B1725" s="26"/>
      <c r="C1725" s="26" t="s">
        <v>8679</v>
      </c>
      <c r="D1725" s="26"/>
      <c r="E1725" s="26"/>
    </row>
    <row r="1726" spans="1:5" s="16" customFormat="1" ht="12.95" customHeight="1">
      <c r="A1726" s="26" t="s">
        <v>8680</v>
      </c>
      <c r="B1726" s="26"/>
      <c r="C1726" s="26" t="s">
        <v>8681</v>
      </c>
      <c r="D1726" s="26"/>
      <c r="E1726" s="26"/>
    </row>
    <row r="1727" spans="1:5" s="16" customFormat="1" ht="12.95" customHeight="1">
      <c r="A1727" s="26" t="s">
        <v>8682</v>
      </c>
      <c r="B1727" s="26"/>
      <c r="C1727" s="26" t="s">
        <v>8683</v>
      </c>
      <c r="D1727" s="26"/>
      <c r="E1727" s="26"/>
    </row>
    <row r="1728" spans="1:5" s="16" customFormat="1" ht="12.95" customHeight="1">
      <c r="A1728" s="26" t="s">
        <v>8684</v>
      </c>
      <c r="B1728" s="26"/>
      <c r="C1728" s="26" t="s">
        <v>8685</v>
      </c>
      <c r="D1728" s="26"/>
      <c r="E1728" s="26"/>
    </row>
    <row r="1729" spans="1:5" s="16" customFormat="1" ht="12.95" customHeight="1">
      <c r="A1729" s="26" t="s">
        <v>8686</v>
      </c>
      <c r="B1729" s="26"/>
      <c r="C1729" s="26" t="s">
        <v>8687</v>
      </c>
      <c r="D1729" s="26"/>
      <c r="E1729" s="26"/>
    </row>
    <row r="1730" spans="1:5" s="16" customFormat="1" ht="12.95" customHeight="1">
      <c r="A1730" s="26" t="s">
        <v>8688</v>
      </c>
      <c r="B1730" s="26"/>
      <c r="C1730" s="26" t="s">
        <v>8689</v>
      </c>
      <c r="D1730" s="26"/>
      <c r="E1730" s="26"/>
    </row>
    <row r="1731" spans="1:5" s="16" customFormat="1" ht="12.95" customHeight="1">
      <c r="A1731" s="26" t="s">
        <v>8690</v>
      </c>
      <c r="B1731" s="26"/>
      <c r="C1731" s="26" t="s">
        <v>8691</v>
      </c>
      <c r="D1731" s="26"/>
      <c r="E1731" s="26"/>
    </row>
    <row r="1732" spans="1:5" s="16" customFormat="1" ht="12.95" customHeight="1">
      <c r="A1732" s="26" t="s">
        <v>8692</v>
      </c>
      <c r="B1732" s="26"/>
      <c r="C1732" s="26" t="s">
        <v>8693</v>
      </c>
      <c r="D1732" s="26"/>
      <c r="E1732" s="26"/>
    </row>
    <row r="1733" spans="1:5" s="16" customFormat="1" ht="12.95" customHeight="1">
      <c r="A1733" s="26" t="s">
        <v>8694</v>
      </c>
      <c r="B1733" s="26"/>
      <c r="C1733" s="26" t="s">
        <v>8695</v>
      </c>
      <c r="D1733" s="26"/>
      <c r="E1733" s="26"/>
    </row>
    <row r="1734" spans="1:5" s="16" customFormat="1" ht="12.95" customHeight="1">
      <c r="A1734" s="26" t="s">
        <v>8696</v>
      </c>
      <c r="B1734" s="26"/>
      <c r="C1734" s="26" t="s">
        <v>8697</v>
      </c>
      <c r="D1734" s="26"/>
      <c r="E1734" s="26"/>
    </row>
    <row r="1735" spans="1:5" s="16" customFormat="1" ht="12.95" customHeight="1">
      <c r="A1735" s="26" t="s">
        <v>8698</v>
      </c>
      <c r="B1735" s="26"/>
      <c r="C1735" s="26" t="s">
        <v>8699</v>
      </c>
      <c r="D1735" s="26"/>
      <c r="E1735" s="26"/>
    </row>
    <row r="1736" spans="1:5" s="16" customFormat="1" ht="12.95" customHeight="1">
      <c r="A1736" s="26" t="s">
        <v>8700</v>
      </c>
      <c r="B1736" s="26"/>
      <c r="C1736" s="26" t="s">
        <v>8701</v>
      </c>
      <c r="D1736" s="26"/>
      <c r="E1736" s="26"/>
    </row>
    <row r="1737" spans="1:5" s="16" customFormat="1" ht="12.95" customHeight="1">
      <c r="A1737" s="26" t="s">
        <v>8702</v>
      </c>
      <c r="B1737" s="26"/>
      <c r="C1737" s="26" t="s">
        <v>8701</v>
      </c>
      <c r="D1737" s="26"/>
      <c r="E1737" s="26"/>
    </row>
    <row r="1738" spans="1:5" s="16" customFormat="1" ht="12.95" customHeight="1">
      <c r="A1738" s="26" t="s">
        <v>8703</v>
      </c>
      <c r="B1738" s="26"/>
      <c r="C1738" s="26" t="s">
        <v>8701</v>
      </c>
      <c r="D1738" s="26"/>
      <c r="E1738" s="26"/>
    </row>
    <row r="1739" spans="1:5" s="16" customFormat="1" ht="12.95" customHeight="1">
      <c r="A1739" s="26" t="s">
        <v>8704</v>
      </c>
      <c r="B1739" s="26"/>
      <c r="C1739" s="26" t="s">
        <v>8701</v>
      </c>
      <c r="D1739" s="26"/>
      <c r="E1739" s="26"/>
    </row>
    <row r="1740" spans="1:5" s="16" customFormat="1" ht="12.95" customHeight="1">
      <c r="A1740" s="26" t="s">
        <v>8705</v>
      </c>
      <c r="B1740" s="26"/>
      <c r="C1740" s="26" t="s">
        <v>8706</v>
      </c>
      <c r="D1740" s="26"/>
      <c r="E1740" s="26"/>
    </row>
    <row r="1741" spans="1:5" s="16" customFormat="1" ht="12.95" customHeight="1">
      <c r="A1741" s="26" t="s">
        <v>8707</v>
      </c>
      <c r="B1741" s="26"/>
      <c r="C1741" s="26" t="s">
        <v>8708</v>
      </c>
      <c r="D1741" s="26"/>
      <c r="E1741" s="26"/>
    </row>
    <row r="1742" spans="1:5" s="16" customFormat="1" ht="12.95" customHeight="1">
      <c r="A1742" s="26" t="s">
        <v>8709</v>
      </c>
      <c r="B1742" s="26"/>
      <c r="C1742" s="26" t="s">
        <v>8710</v>
      </c>
      <c r="D1742" s="26"/>
      <c r="E1742" s="26"/>
    </row>
    <row r="1743" spans="1:5" s="16" customFormat="1" ht="12.95" customHeight="1">
      <c r="A1743" s="26" t="s">
        <v>8711</v>
      </c>
      <c r="B1743" s="26"/>
      <c r="C1743" s="26" t="s">
        <v>8712</v>
      </c>
      <c r="D1743" s="26"/>
      <c r="E1743" s="26"/>
    </row>
    <row r="1744" spans="1:5" s="16" customFormat="1" ht="12.95" customHeight="1">
      <c r="A1744" s="26" t="s">
        <v>8713</v>
      </c>
      <c r="B1744" s="26"/>
      <c r="C1744" s="26" t="s">
        <v>8714</v>
      </c>
      <c r="D1744" s="26"/>
      <c r="E1744" s="26"/>
    </row>
    <row r="1745" spans="1:5" s="16" customFormat="1" ht="12.95" customHeight="1">
      <c r="A1745" s="26" t="s">
        <v>8715</v>
      </c>
      <c r="B1745" s="26"/>
      <c r="C1745" s="26" t="s">
        <v>8716</v>
      </c>
      <c r="D1745" s="26"/>
      <c r="E1745" s="26"/>
    </row>
    <row r="1746" spans="1:5" s="16" customFormat="1" ht="12.95" customHeight="1">
      <c r="A1746" s="26" t="s">
        <v>8717</v>
      </c>
      <c r="B1746" s="26"/>
      <c r="C1746" s="26" t="s">
        <v>8714</v>
      </c>
      <c r="D1746" s="26"/>
      <c r="E1746" s="26"/>
    </row>
    <row r="1747" spans="1:5" s="16" customFormat="1" ht="12.95" customHeight="1">
      <c r="A1747" s="26" t="s">
        <v>8718</v>
      </c>
      <c r="B1747" s="26"/>
      <c r="C1747" s="26" t="s">
        <v>8719</v>
      </c>
      <c r="D1747" s="26"/>
      <c r="E1747" s="26"/>
    </row>
    <row r="1748" spans="1:5" s="16" customFormat="1" ht="12.95" customHeight="1">
      <c r="A1748" s="26" t="s">
        <v>8720</v>
      </c>
      <c r="B1748" s="26"/>
      <c r="C1748" s="26" t="s">
        <v>8721</v>
      </c>
      <c r="D1748" s="26"/>
      <c r="E1748" s="26"/>
    </row>
    <row r="1749" spans="1:5" s="16" customFormat="1" ht="12.95" customHeight="1">
      <c r="A1749" s="26" t="s">
        <v>8722</v>
      </c>
      <c r="B1749" s="26"/>
      <c r="C1749" s="26" t="s">
        <v>8723</v>
      </c>
      <c r="D1749" s="26"/>
      <c r="E1749" s="26"/>
    </row>
    <row r="1750" spans="1:5" s="16" customFormat="1" ht="12.95" customHeight="1">
      <c r="A1750" s="26" t="s">
        <v>8724</v>
      </c>
      <c r="B1750" s="26"/>
      <c r="C1750" s="26" t="s">
        <v>8725</v>
      </c>
      <c r="D1750" s="26"/>
      <c r="E1750" s="26"/>
    </row>
    <row r="1751" spans="1:5" s="16" customFormat="1" ht="12.95" customHeight="1">
      <c r="A1751" s="26" t="s">
        <v>8726</v>
      </c>
      <c r="B1751" s="26"/>
      <c r="C1751" s="26" t="s">
        <v>8727</v>
      </c>
      <c r="D1751" s="26"/>
      <c r="E1751" s="26"/>
    </row>
    <row r="1752" spans="1:5" s="16" customFormat="1" ht="12.95" customHeight="1">
      <c r="A1752" s="26" t="s">
        <v>8728</v>
      </c>
      <c r="B1752" s="26"/>
      <c r="C1752" s="26" t="s">
        <v>8729</v>
      </c>
      <c r="D1752" s="26"/>
      <c r="E1752" s="26"/>
    </row>
    <row r="1753" spans="1:5" s="16" customFormat="1" ht="12.95" customHeight="1">
      <c r="A1753" s="26" t="s">
        <v>8730</v>
      </c>
      <c r="B1753" s="26"/>
      <c r="C1753" s="26" t="s">
        <v>8731</v>
      </c>
      <c r="D1753" s="26"/>
      <c r="E1753" s="26"/>
    </row>
    <row r="1754" spans="1:5" s="16" customFormat="1" ht="12.95" customHeight="1">
      <c r="A1754" s="26" t="s">
        <v>8732</v>
      </c>
      <c r="B1754" s="26"/>
      <c r="C1754" s="26" t="s">
        <v>8733</v>
      </c>
      <c r="D1754" s="26"/>
      <c r="E1754" s="26"/>
    </row>
    <row r="1755" spans="1:5" s="16" customFormat="1" ht="12.95" customHeight="1">
      <c r="A1755" s="26" t="s">
        <v>8734</v>
      </c>
      <c r="B1755" s="26"/>
      <c r="C1755" s="26" t="s">
        <v>8735</v>
      </c>
      <c r="D1755" s="26"/>
      <c r="E1755" s="26"/>
    </row>
    <row r="1756" spans="1:5" s="16" customFormat="1" ht="12.95" customHeight="1">
      <c r="A1756" s="26" t="s">
        <v>2948</v>
      </c>
      <c r="B1756" s="26"/>
      <c r="C1756" s="26" t="s">
        <v>8736</v>
      </c>
      <c r="D1756" s="26"/>
      <c r="E1756" s="26"/>
    </row>
    <row r="1757" spans="1:5" s="16" customFormat="1" ht="12.95" customHeight="1">
      <c r="A1757" s="26" t="s">
        <v>8737</v>
      </c>
      <c r="B1757" s="26"/>
      <c r="C1757" s="26" t="s">
        <v>8738</v>
      </c>
      <c r="D1757" s="26"/>
      <c r="E1757" s="26"/>
    </row>
    <row r="1758" spans="1:5" s="16" customFormat="1" ht="12.95" customHeight="1">
      <c r="A1758" s="26" t="s">
        <v>8739</v>
      </c>
      <c r="B1758" s="26"/>
      <c r="C1758" s="26" t="s">
        <v>8740</v>
      </c>
      <c r="D1758" s="26"/>
      <c r="E1758" s="26"/>
    </row>
    <row r="1759" spans="1:5" s="16" customFormat="1" ht="12.95" customHeight="1">
      <c r="A1759" s="26" t="s">
        <v>8741</v>
      </c>
      <c r="B1759" s="26"/>
      <c r="C1759" s="26" t="s">
        <v>8742</v>
      </c>
      <c r="D1759" s="26"/>
      <c r="E1759" s="26"/>
    </row>
    <row r="1760" spans="1:5" s="16" customFormat="1" ht="12.95" customHeight="1">
      <c r="A1760" s="26" t="s">
        <v>8743</v>
      </c>
      <c r="B1760" s="26"/>
      <c r="C1760" s="26" t="s">
        <v>8744</v>
      </c>
      <c r="D1760" s="26"/>
      <c r="E1760" s="26"/>
    </row>
    <row r="1761" spans="1:5" s="16" customFormat="1" ht="12.95" customHeight="1">
      <c r="A1761" s="26" t="s">
        <v>5788</v>
      </c>
      <c r="B1761" s="26"/>
      <c r="C1761" s="26" t="s">
        <v>8745</v>
      </c>
      <c r="D1761" s="26"/>
      <c r="E1761" s="26"/>
    </row>
    <row r="1762" spans="1:5" s="16" customFormat="1" ht="12.95" customHeight="1">
      <c r="A1762" s="26" t="s">
        <v>8746</v>
      </c>
      <c r="B1762" s="26"/>
      <c r="C1762" s="26" t="s">
        <v>8740</v>
      </c>
      <c r="D1762" s="26"/>
      <c r="E1762" s="26"/>
    </row>
    <row r="1763" spans="1:5" s="16" customFormat="1" ht="12.95" customHeight="1">
      <c r="A1763" s="26" t="s">
        <v>8747</v>
      </c>
      <c r="B1763" s="26"/>
      <c r="C1763" s="26" t="s">
        <v>8748</v>
      </c>
      <c r="D1763" s="26"/>
      <c r="E1763" s="26"/>
    </row>
    <row r="1764" spans="1:5" s="16" customFormat="1" ht="12.95" customHeight="1">
      <c r="A1764" s="26" t="s">
        <v>8749</v>
      </c>
      <c r="B1764" s="26"/>
      <c r="C1764" s="26" t="s">
        <v>8745</v>
      </c>
      <c r="D1764" s="26"/>
      <c r="E1764" s="26"/>
    </row>
    <row r="1765" spans="1:5" s="16" customFormat="1" ht="12.95" customHeight="1">
      <c r="A1765" s="26" t="s">
        <v>8750</v>
      </c>
      <c r="B1765" s="26"/>
      <c r="C1765" s="26" t="s">
        <v>8751</v>
      </c>
      <c r="D1765" s="26"/>
      <c r="E1765" s="26"/>
    </row>
    <row r="1766" spans="1:5" s="16" customFormat="1" ht="12.95" customHeight="1">
      <c r="A1766" s="26" t="s">
        <v>8752</v>
      </c>
      <c r="B1766" s="26"/>
      <c r="C1766" s="26" t="s">
        <v>8738</v>
      </c>
      <c r="D1766" s="26"/>
      <c r="E1766" s="26"/>
    </row>
    <row r="1767" spans="1:5" s="16" customFormat="1" ht="12.95" customHeight="1">
      <c r="A1767" s="26" t="s">
        <v>8753</v>
      </c>
      <c r="B1767" s="26"/>
      <c r="C1767" s="26" t="s">
        <v>8754</v>
      </c>
      <c r="D1767" s="26"/>
      <c r="E1767" s="26"/>
    </row>
    <row r="1768" spans="1:5" s="16" customFormat="1" ht="12.95" customHeight="1">
      <c r="A1768" s="26" t="s">
        <v>8755</v>
      </c>
      <c r="B1768" s="26"/>
      <c r="C1768" s="26" t="s">
        <v>8756</v>
      </c>
      <c r="D1768" s="26"/>
      <c r="E1768" s="26"/>
    </row>
    <row r="1769" spans="1:5" s="16" customFormat="1" ht="12.95" customHeight="1">
      <c r="A1769" s="26" t="s">
        <v>8757</v>
      </c>
      <c r="B1769" s="26"/>
      <c r="C1769" s="26" t="s">
        <v>8758</v>
      </c>
      <c r="D1769" s="26"/>
      <c r="E1769" s="26"/>
    </row>
    <row r="1770" spans="1:5" s="16" customFormat="1" ht="12.95" customHeight="1">
      <c r="A1770" s="26" t="s">
        <v>8759</v>
      </c>
      <c r="B1770" s="26"/>
      <c r="C1770" s="26" t="s">
        <v>8760</v>
      </c>
      <c r="D1770" s="26"/>
      <c r="E1770" s="26"/>
    </row>
    <row r="1771" spans="1:5" s="16" customFormat="1" ht="12.95" customHeight="1">
      <c r="A1771" s="26" t="s">
        <v>8761</v>
      </c>
      <c r="B1771" s="26"/>
      <c r="C1771" s="26" t="s">
        <v>8762</v>
      </c>
      <c r="D1771" s="26"/>
      <c r="E1771" s="26"/>
    </row>
    <row r="1772" spans="1:5" s="16" customFormat="1" ht="12.95" customHeight="1">
      <c r="A1772" s="26" t="s">
        <v>8763</v>
      </c>
      <c r="B1772" s="26"/>
      <c r="C1772" s="26" t="s">
        <v>8764</v>
      </c>
      <c r="D1772" s="26"/>
      <c r="E1772" s="26"/>
    </row>
    <row r="1773" spans="1:5" s="16" customFormat="1" ht="12.95" customHeight="1">
      <c r="A1773" s="26" t="s">
        <v>8765</v>
      </c>
      <c r="B1773" s="26"/>
      <c r="C1773" s="26" t="s">
        <v>8760</v>
      </c>
      <c r="D1773" s="26"/>
      <c r="E1773" s="26"/>
    </row>
    <row r="1774" spans="1:5" s="16" customFormat="1" ht="12.95" customHeight="1">
      <c r="A1774" s="26" t="s">
        <v>8766</v>
      </c>
      <c r="B1774" s="26"/>
      <c r="C1774" s="26" t="s">
        <v>8767</v>
      </c>
      <c r="D1774" s="26"/>
      <c r="E1774" s="26"/>
    </row>
    <row r="1775" spans="1:5" s="16" customFormat="1" ht="12.95" customHeight="1">
      <c r="A1775" s="26" t="s">
        <v>8768</v>
      </c>
      <c r="B1775" s="26"/>
      <c r="C1775" s="26" t="s">
        <v>8769</v>
      </c>
      <c r="D1775" s="26"/>
      <c r="E1775" s="26"/>
    </row>
    <row r="1776" spans="1:5" s="16" customFormat="1" ht="12.95" customHeight="1">
      <c r="A1776" s="26" t="s">
        <v>8768</v>
      </c>
      <c r="B1776" s="26"/>
      <c r="C1776" s="26" t="s">
        <v>8769</v>
      </c>
      <c r="D1776" s="26"/>
      <c r="E1776" s="26"/>
    </row>
    <row r="1777" spans="1:5" s="16" customFormat="1" ht="12.95" customHeight="1">
      <c r="A1777" s="26" t="s">
        <v>3268</v>
      </c>
      <c r="B1777" s="26"/>
      <c r="C1777" s="26" t="s">
        <v>109</v>
      </c>
      <c r="D1777" s="26"/>
      <c r="E1777" s="26"/>
    </row>
    <row r="1778" spans="1:5" s="16" customFormat="1" ht="12.95" customHeight="1">
      <c r="A1778" s="26" t="s">
        <v>8770</v>
      </c>
      <c r="B1778" s="26"/>
      <c r="C1778" s="26" t="s">
        <v>8771</v>
      </c>
      <c r="D1778" s="26"/>
      <c r="E1778" s="26"/>
    </row>
    <row r="1779" spans="1:5" s="16" customFormat="1" ht="12.95" customHeight="1">
      <c r="A1779" s="26" t="s">
        <v>8772</v>
      </c>
      <c r="B1779" s="26"/>
      <c r="C1779" s="26" t="s">
        <v>109</v>
      </c>
      <c r="D1779" s="26"/>
      <c r="E1779" s="26"/>
    </row>
    <row r="1780" spans="1:5" s="16" customFormat="1" ht="12.95" customHeight="1">
      <c r="A1780" s="26" t="s">
        <v>8773</v>
      </c>
      <c r="B1780" s="26"/>
      <c r="C1780" s="26" t="s">
        <v>8771</v>
      </c>
      <c r="D1780" s="26"/>
      <c r="E1780" s="26"/>
    </row>
    <row r="1781" spans="1:5" s="16" customFormat="1" ht="12.95" customHeight="1">
      <c r="A1781" s="26" t="s">
        <v>8774</v>
      </c>
      <c r="B1781" s="26"/>
      <c r="C1781" s="26" t="s">
        <v>8775</v>
      </c>
      <c r="D1781" s="26"/>
      <c r="E1781" s="26"/>
    </row>
    <row r="1782" spans="1:5" s="16" customFormat="1" ht="12.95" customHeight="1">
      <c r="A1782" s="26" t="s">
        <v>8776</v>
      </c>
      <c r="B1782" s="26"/>
      <c r="C1782" s="26" t="s">
        <v>8777</v>
      </c>
      <c r="D1782" s="26"/>
      <c r="E1782" s="26"/>
    </row>
    <row r="1783" spans="1:5" s="16" customFormat="1" ht="12.95" customHeight="1">
      <c r="A1783" s="26" t="s">
        <v>8778</v>
      </c>
      <c r="B1783" s="26"/>
      <c r="C1783" s="26" t="s">
        <v>8779</v>
      </c>
      <c r="D1783" s="26"/>
      <c r="E1783" s="26"/>
    </row>
    <row r="1784" spans="1:5" s="16" customFormat="1" ht="12.95" customHeight="1">
      <c r="A1784" s="26" t="s">
        <v>8780</v>
      </c>
      <c r="B1784" s="26"/>
      <c r="C1784" s="26" t="s">
        <v>8781</v>
      </c>
      <c r="D1784" s="26"/>
      <c r="E1784" s="26"/>
    </row>
    <row r="1785" spans="1:5" s="16" customFormat="1" ht="12.95" customHeight="1">
      <c r="A1785" s="26" t="s">
        <v>8780</v>
      </c>
      <c r="B1785" s="26"/>
      <c r="C1785" s="26" t="s">
        <v>8781</v>
      </c>
      <c r="D1785" s="26"/>
      <c r="E1785" s="26"/>
    </row>
    <row r="1786" spans="1:5" s="16" customFormat="1" ht="12.95" customHeight="1">
      <c r="A1786" s="26" t="s">
        <v>8782</v>
      </c>
      <c r="B1786" s="26"/>
      <c r="C1786" s="26" t="s">
        <v>8783</v>
      </c>
      <c r="D1786" s="26"/>
      <c r="E1786" s="26"/>
    </row>
    <row r="1787" spans="1:5" s="16" customFormat="1" ht="12.95" customHeight="1">
      <c r="A1787" s="26" t="s">
        <v>8784</v>
      </c>
      <c r="B1787" s="26"/>
      <c r="C1787" s="26" t="s">
        <v>8785</v>
      </c>
      <c r="D1787" s="26"/>
      <c r="E1787" s="26"/>
    </row>
    <row r="1788" spans="1:5" s="16" customFormat="1" ht="12.95" customHeight="1">
      <c r="A1788" s="26" t="s">
        <v>8786</v>
      </c>
      <c r="B1788" s="26"/>
      <c r="C1788" s="26" t="s">
        <v>8787</v>
      </c>
      <c r="D1788" s="26"/>
      <c r="E1788" s="26"/>
    </row>
    <row r="1789" spans="1:5" s="16" customFormat="1" ht="12.95" customHeight="1">
      <c r="A1789" s="26" t="s">
        <v>8788</v>
      </c>
      <c r="B1789" s="26"/>
      <c r="C1789" s="26" t="s">
        <v>8789</v>
      </c>
      <c r="D1789" s="26"/>
      <c r="E1789" s="26"/>
    </row>
    <row r="1790" spans="1:5" s="16" customFormat="1" ht="12.95" customHeight="1">
      <c r="A1790" s="26" t="s">
        <v>8790</v>
      </c>
      <c r="B1790" s="26"/>
      <c r="C1790" s="26" t="s">
        <v>8791</v>
      </c>
      <c r="D1790" s="26"/>
      <c r="E1790" s="26"/>
    </row>
    <row r="1791" spans="1:5" s="16" customFormat="1" ht="12.95" customHeight="1">
      <c r="A1791" s="26" t="s">
        <v>8792</v>
      </c>
      <c r="B1791" s="26"/>
      <c r="C1791" s="26" t="s">
        <v>8793</v>
      </c>
      <c r="D1791" s="26"/>
      <c r="E1791" s="26"/>
    </row>
    <row r="1792" spans="1:5" s="16" customFormat="1" ht="12.95" customHeight="1">
      <c r="A1792" s="26" t="s">
        <v>8794</v>
      </c>
      <c r="B1792" s="26"/>
      <c r="C1792" s="26" t="s">
        <v>8795</v>
      </c>
      <c r="D1792" s="26"/>
      <c r="E1792" s="26"/>
    </row>
    <row r="1793" spans="1:5" s="16" customFormat="1" ht="12.95" customHeight="1">
      <c r="A1793" s="26" t="s">
        <v>465</v>
      </c>
      <c r="B1793" s="26"/>
      <c r="C1793" s="26" t="s">
        <v>8796</v>
      </c>
      <c r="D1793" s="26"/>
      <c r="E1793" s="26"/>
    </row>
    <row r="1794" spans="1:5" s="16" customFormat="1" ht="12.95" customHeight="1">
      <c r="A1794" s="26" t="s">
        <v>8797</v>
      </c>
      <c r="B1794" s="26"/>
      <c r="C1794" s="26" t="s">
        <v>8798</v>
      </c>
      <c r="D1794" s="26"/>
      <c r="E1794" s="26"/>
    </row>
    <row r="1795" spans="1:5" s="16" customFormat="1" ht="12.95" customHeight="1">
      <c r="A1795" s="26" t="s">
        <v>3561</v>
      </c>
      <c r="B1795" s="26"/>
      <c r="C1795" s="26" t="s">
        <v>7972</v>
      </c>
      <c r="D1795" s="26"/>
      <c r="E1795" s="26"/>
    </row>
    <row r="1796" spans="1:5" s="16" customFormat="1" ht="12.95" customHeight="1">
      <c r="A1796" s="26" t="s">
        <v>8799</v>
      </c>
      <c r="B1796" s="26"/>
      <c r="C1796" s="26" t="s">
        <v>8800</v>
      </c>
      <c r="D1796" s="26"/>
      <c r="E1796" s="26"/>
    </row>
    <row r="1797" spans="1:5" s="16" customFormat="1" ht="12.95" customHeight="1">
      <c r="A1797" s="26" t="s">
        <v>5287</v>
      </c>
      <c r="B1797" s="26"/>
      <c r="C1797" s="26" t="s">
        <v>8801</v>
      </c>
      <c r="D1797" s="26"/>
      <c r="E1797" s="26"/>
    </row>
    <row r="1798" spans="1:5" s="16" customFormat="1" ht="12.95" customHeight="1">
      <c r="A1798" s="26" t="s">
        <v>1380</v>
      </c>
      <c r="B1798" s="26"/>
      <c r="C1798" s="26" t="s">
        <v>8802</v>
      </c>
      <c r="D1798" s="26"/>
      <c r="E1798" s="26"/>
    </row>
    <row r="1799" spans="1:5" s="16" customFormat="1" ht="12.95" customHeight="1">
      <c r="A1799" s="26" t="s">
        <v>8803</v>
      </c>
      <c r="B1799" s="26"/>
      <c r="C1799" s="26" t="s">
        <v>8804</v>
      </c>
      <c r="D1799" s="26"/>
      <c r="E1799" s="26"/>
    </row>
    <row r="1800" spans="1:5" s="16" customFormat="1" ht="12.95" customHeight="1">
      <c r="A1800" s="26" t="s">
        <v>8805</v>
      </c>
      <c r="B1800" s="26"/>
      <c r="C1800" s="26" t="s">
        <v>8798</v>
      </c>
      <c r="D1800" s="26"/>
      <c r="E1800" s="26"/>
    </row>
    <row r="1801" spans="1:5" s="16" customFormat="1" ht="12.95" customHeight="1">
      <c r="A1801" s="26" t="s">
        <v>8806</v>
      </c>
      <c r="B1801" s="26"/>
      <c r="C1801" s="26" t="s">
        <v>8807</v>
      </c>
      <c r="D1801" s="26"/>
      <c r="E1801" s="26"/>
    </row>
    <row r="1802" spans="1:5" s="16" customFormat="1" ht="12.95" customHeight="1">
      <c r="A1802" s="26" t="s">
        <v>8808</v>
      </c>
      <c r="B1802" s="26"/>
      <c r="C1802" s="26" t="s">
        <v>8809</v>
      </c>
      <c r="D1802" s="26"/>
      <c r="E1802" s="26"/>
    </row>
    <row r="1803" spans="1:5" s="16" customFormat="1" ht="12.95" customHeight="1">
      <c r="A1803" s="26" t="s">
        <v>8810</v>
      </c>
      <c r="B1803" s="26"/>
      <c r="C1803" s="26" t="s">
        <v>7972</v>
      </c>
      <c r="D1803" s="26"/>
      <c r="E1803" s="26"/>
    </row>
    <row r="1804" spans="1:5" s="16" customFormat="1" ht="12.95" customHeight="1">
      <c r="A1804" s="26" t="s">
        <v>8811</v>
      </c>
      <c r="B1804" s="26"/>
      <c r="C1804" s="26" t="s">
        <v>8800</v>
      </c>
      <c r="D1804" s="26"/>
      <c r="E1804" s="26"/>
    </row>
    <row r="1805" spans="1:5" s="16" customFormat="1" ht="12.95" customHeight="1">
      <c r="A1805" s="26" t="s">
        <v>8812</v>
      </c>
      <c r="B1805" s="26"/>
      <c r="C1805" s="26" t="s">
        <v>8801</v>
      </c>
      <c r="D1805" s="26"/>
      <c r="E1805" s="26"/>
    </row>
    <row r="1806" spans="1:5" s="16" customFormat="1" ht="12.95" customHeight="1">
      <c r="A1806" s="26" t="s">
        <v>8813</v>
      </c>
      <c r="B1806" s="26"/>
      <c r="C1806" s="26" t="s">
        <v>8802</v>
      </c>
      <c r="D1806" s="26"/>
      <c r="E1806" s="26"/>
    </row>
    <row r="1807" spans="1:5" s="16" customFormat="1" ht="12.95" customHeight="1">
      <c r="A1807" s="26" t="s">
        <v>8814</v>
      </c>
      <c r="B1807" s="26"/>
      <c r="C1807" s="26" t="s">
        <v>8804</v>
      </c>
      <c r="D1807" s="26"/>
      <c r="E1807" s="26"/>
    </row>
    <row r="1808" spans="1:5" s="16" customFormat="1" ht="12.95" customHeight="1">
      <c r="A1808" s="26" t="s">
        <v>8815</v>
      </c>
      <c r="B1808" s="26"/>
      <c r="C1808" s="26" t="s">
        <v>8798</v>
      </c>
      <c r="D1808" s="26"/>
      <c r="E1808" s="26"/>
    </row>
    <row r="1809" spans="1:5" s="16" customFormat="1" ht="12.95" customHeight="1">
      <c r="A1809" s="26" t="s">
        <v>8816</v>
      </c>
      <c r="B1809" s="26"/>
      <c r="C1809" s="26" t="s">
        <v>8807</v>
      </c>
      <c r="D1809" s="26"/>
      <c r="E1809" s="26"/>
    </row>
    <row r="1810" spans="1:5" s="16" customFormat="1" ht="12.95" customHeight="1">
      <c r="A1810" s="26" t="s">
        <v>8817</v>
      </c>
      <c r="B1810" s="26"/>
      <c r="C1810" s="26" t="s">
        <v>8818</v>
      </c>
      <c r="D1810" s="26"/>
      <c r="E1810" s="26"/>
    </row>
    <row r="1811" spans="1:5" s="16" customFormat="1" ht="12.95" customHeight="1">
      <c r="A1811" s="26" t="s">
        <v>8819</v>
      </c>
      <c r="B1811" s="26"/>
      <c r="C1811" s="26" t="s">
        <v>8820</v>
      </c>
      <c r="D1811" s="26"/>
      <c r="E1811" s="26"/>
    </row>
    <row r="1812" spans="1:5" s="16" customFormat="1" ht="12.95" customHeight="1">
      <c r="A1812" s="26" t="s">
        <v>6787</v>
      </c>
      <c r="B1812" s="26"/>
      <c r="C1812" s="26" t="s">
        <v>8821</v>
      </c>
      <c r="D1812" s="26"/>
      <c r="E1812" s="26"/>
    </row>
    <row r="1813" spans="1:5" s="16" customFormat="1" ht="12.95" customHeight="1">
      <c r="A1813" s="26" t="s">
        <v>8822</v>
      </c>
      <c r="B1813" s="26"/>
      <c r="C1813" s="26" t="s">
        <v>8823</v>
      </c>
      <c r="D1813" s="26"/>
      <c r="E1813" s="26"/>
    </row>
    <row r="1814" spans="1:5" s="16" customFormat="1" ht="12.95" customHeight="1">
      <c r="A1814" s="26" t="s">
        <v>8824</v>
      </c>
      <c r="B1814" s="26"/>
      <c r="C1814" s="26" t="s">
        <v>7972</v>
      </c>
      <c r="D1814" s="26"/>
      <c r="E1814" s="26"/>
    </row>
    <row r="1815" spans="1:5" s="16" customFormat="1" ht="12.95" customHeight="1">
      <c r="A1815" s="26" t="s">
        <v>8825</v>
      </c>
      <c r="B1815" s="26"/>
      <c r="C1815" s="26" t="s">
        <v>8821</v>
      </c>
      <c r="D1815" s="26"/>
      <c r="E1815" s="26"/>
    </row>
    <row r="1816" spans="1:5" s="16" customFormat="1" ht="12.95" customHeight="1">
      <c r="A1816" s="26" t="s">
        <v>8826</v>
      </c>
      <c r="B1816" s="26"/>
      <c r="C1816" s="26" t="s">
        <v>8827</v>
      </c>
      <c r="D1816" s="26"/>
      <c r="E1816" s="26"/>
    </row>
    <row r="1817" spans="1:5" s="16" customFormat="1" ht="12.95" customHeight="1">
      <c r="A1817" s="26" t="s">
        <v>8826</v>
      </c>
      <c r="B1817" s="26"/>
      <c r="C1817" s="26" t="s">
        <v>8827</v>
      </c>
      <c r="D1817" s="26"/>
      <c r="E1817" s="26"/>
    </row>
    <row r="1818" spans="1:5" s="16" customFormat="1" ht="12.95" customHeight="1">
      <c r="A1818" s="26" t="s">
        <v>8828</v>
      </c>
      <c r="B1818" s="26"/>
      <c r="C1818" s="26" t="s">
        <v>8829</v>
      </c>
      <c r="D1818" s="26"/>
      <c r="E1818" s="26"/>
    </row>
    <row r="1819" spans="1:5" s="16" customFormat="1" ht="12.95" customHeight="1">
      <c r="A1819" s="26" t="s">
        <v>4352</v>
      </c>
      <c r="B1819" s="26"/>
      <c r="C1819" s="26" t="s">
        <v>8830</v>
      </c>
      <c r="D1819" s="26"/>
      <c r="E1819" s="26"/>
    </row>
    <row r="1820" spans="1:5" s="16" customFormat="1" ht="12.95" customHeight="1">
      <c r="A1820" s="26" t="s">
        <v>8831</v>
      </c>
      <c r="B1820" s="26"/>
      <c r="C1820" s="26" t="s">
        <v>8832</v>
      </c>
      <c r="D1820" s="26"/>
      <c r="E1820" s="26"/>
    </row>
    <row r="1821" spans="1:5" s="16" customFormat="1" ht="12.95" customHeight="1">
      <c r="A1821" s="26" t="s">
        <v>1965</v>
      </c>
      <c r="B1821" s="26"/>
      <c r="C1821" s="26" t="s">
        <v>7971</v>
      </c>
      <c r="D1821" s="26"/>
      <c r="E1821" s="26"/>
    </row>
    <row r="1822" spans="1:5" s="16" customFormat="1" ht="12.95" customHeight="1">
      <c r="A1822" s="26" t="s">
        <v>2445</v>
      </c>
      <c r="B1822" s="26"/>
      <c r="C1822" s="26" t="s">
        <v>8830</v>
      </c>
      <c r="D1822" s="26"/>
      <c r="E1822" s="26"/>
    </row>
    <row r="1823" spans="1:5" s="16" customFormat="1" ht="12.95" customHeight="1">
      <c r="A1823" s="26" t="s">
        <v>2130</v>
      </c>
      <c r="B1823" s="26"/>
      <c r="C1823" s="26" t="s">
        <v>8833</v>
      </c>
      <c r="D1823" s="26"/>
      <c r="E1823" s="26"/>
    </row>
    <row r="1824" spans="1:5" s="16" customFormat="1" ht="12.95" customHeight="1">
      <c r="A1824" s="26" t="s">
        <v>5320</v>
      </c>
      <c r="B1824" s="26"/>
      <c r="C1824" s="26" t="s">
        <v>7971</v>
      </c>
      <c r="D1824" s="26"/>
      <c r="E1824" s="26"/>
    </row>
    <row r="1825" spans="1:5" s="16" customFormat="1" ht="12.95" customHeight="1">
      <c r="A1825" s="26" t="s">
        <v>3424</v>
      </c>
      <c r="B1825" s="26"/>
      <c r="C1825" s="26" t="s">
        <v>8830</v>
      </c>
      <c r="D1825" s="26"/>
      <c r="E1825" s="26"/>
    </row>
    <row r="1826" spans="1:5" s="16" customFormat="1" ht="12.95" customHeight="1">
      <c r="A1826" s="26" t="s">
        <v>8834</v>
      </c>
      <c r="B1826" s="26"/>
      <c r="C1826" s="26" t="s">
        <v>8833</v>
      </c>
      <c r="D1826" s="26"/>
      <c r="E1826" s="26"/>
    </row>
    <row r="1827" spans="1:5" s="16" customFormat="1" ht="12.95" customHeight="1">
      <c r="A1827" s="26" t="s">
        <v>8835</v>
      </c>
      <c r="B1827" s="26"/>
      <c r="C1827" s="26" t="s">
        <v>8836</v>
      </c>
      <c r="D1827" s="26"/>
      <c r="E1827" s="26"/>
    </row>
    <row r="1828" spans="1:5" s="16" customFormat="1" ht="12.95" customHeight="1">
      <c r="A1828" s="26" t="s">
        <v>8837</v>
      </c>
      <c r="B1828" s="26"/>
      <c r="C1828" s="26" t="s">
        <v>8836</v>
      </c>
      <c r="D1828" s="26"/>
      <c r="E1828" s="26"/>
    </row>
    <row r="1829" spans="1:5" s="16" customFormat="1" ht="12.95" customHeight="1">
      <c r="A1829" s="26" t="s">
        <v>8838</v>
      </c>
      <c r="B1829" s="26"/>
      <c r="C1829" s="26" t="s">
        <v>8839</v>
      </c>
      <c r="D1829" s="26"/>
      <c r="E1829" s="26"/>
    </row>
    <row r="1830" spans="1:5" s="16" customFormat="1" ht="12.95" customHeight="1">
      <c r="A1830" s="26" t="s">
        <v>8838</v>
      </c>
      <c r="B1830" s="26"/>
      <c r="C1830" s="26" t="s">
        <v>8839</v>
      </c>
      <c r="D1830" s="26"/>
      <c r="E1830" s="26"/>
    </row>
    <row r="1831" spans="1:5" s="16" customFormat="1" ht="12.95" customHeight="1">
      <c r="A1831" s="26" t="s">
        <v>8840</v>
      </c>
      <c r="B1831" s="26"/>
      <c r="C1831" s="26" t="s">
        <v>8841</v>
      </c>
      <c r="D1831" s="26"/>
      <c r="E1831" s="26"/>
    </row>
    <row r="1832" spans="1:5" s="16" customFormat="1" ht="12.95" customHeight="1">
      <c r="A1832" s="26" t="s">
        <v>2850</v>
      </c>
      <c r="B1832" s="26"/>
      <c r="C1832" s="26" t="s">
        <v>8842</v>
      </c>
      <c r="D1832" s="26"/>
      <c r="E1832" s="26"/>
    </row>
    <row r="1833" spans="1:5" s="16" customFormat="1" ht="12.95" customHeight="1">
      <c r="A1833" s="26" t="s">
        <v>620</v>
      </c>
      <c r="B1833" s="26"/>
      <c r="C1833" s="26" t="s">
        <v>8842</v>
      </c>
      <c r="D1833" s="26"/>
      <c r="E1833" s="26"/>
    </row>
    <row r="1834" spans="1:5" s="16" customFormat="1" ht="12.95" customHeight="1">
      <c r="A1834" s="26" t="s">
        <v>6334</v>
      </c>
      <c r="B1834" s="26"/>
      <c r="C1834" s="26" t="s">
        <v>8842</v>
      </c>
      <c r="D1834" s="26"/>
      <c r="E1834" s="26"/>
    </row>
    <row r="1835" spans="1:5" s="16" customFormat="1" ht="12.95" customHeight="1">
      <c r="A1835" s="26" t="s">
        <v>8843</v>
      </c>
      <c r="B1835" s="26"/>
      <c r="C1835" s="26" t="s">
        <v>8844</v>
      </c>
      <c r="D1835" s="26"/>
      <c r="E1835" s="26"/>
    </row>
    <row r="1836" spans="1:5" s="16" customFormat="1" ht="12.95" customHeight="1">
      <c r="A1836" s="26" t="s">
        <v>8845</v>
      </c>
      <c r="B1836" s="26"/>
      <c r="C1836" s="26" t="s">
        <v>8841</v>
      </c>
      <c r="D1836" s="26"/>
      <c r="E1836" s="26"/>
    </row>
    <row r="1837" spans="1:5" s="16" customFormat="1" ht="12.95" customHeight="1">
      <c r="A1837" s="26" t="s">
        <v>8846</v>
      </c>
      <c r="B1837" s="26"/>
      <c r="C1837" s="26" t="s">
        <v>8847</v>
      </c>
      <c r="D1837" s="26"/>
      <c r="E1837" s="26"/>
    </row>
    <row r="1838" spans="1:5" s="16" customFormat="1" ht="12.95" customHeight="1">
      <c r="A1838" s="26" t="s">
        <v>8848</v>
      </c>
      <c r="B1838" s="26"/>
      <c r="C1838" s="26" t="s">
        <v>8849</v>
      </c>
      <c r="D1838" s="26"/>
      <c r="E1838" s="26"/>
    </row>
    <row r="1839" spans="1:5" s="16" customFormat="1" ht="12.95" customHeight="1">
      <c r="A1839" s="26" t="s">
        <v>2137</v>
      </c>
      <c r="B1839" s="26"/>
      <c r="C1839" s="26" t="s">
        <v>8842</v>
      </c>
      <c r="D1839" s="26"/>
      <c r="E1839" s="26"/>
    </row>
    <row r="1840" spans="1:5" s="16" customFormat="1" ht="12.95" customHeight="1">
      <c r="A1840" s="26" t="s">
        <v>8850</v>
      </c>
      <c r="B1840" s="26"/>
      <c r="C1840" s="26" t="s">
        <v>8851</v>
      </c>
      <c r="D1840" s="26"/>
      <c r="E1840" s="26"/>
    </row>
    <row r="1841" spans="1:5" s="16" customFormat="1" ht="12.95" customHeight="1">
      <c r="A1841" s="26" t="s">
        <v>8850</v>
      </c>
      <c r="B1841" s="26"/>
      <c r="C1841" s="26" t="s">
        <v>8851</v>
      </c>
      <c r="D1841" s="26"/>
      <c r="E1841" s="26"/>
    </row>
    <row r="1842" spans="1:5" s="16" customFormat="1" ht="12.95" customHeight="1">
      <c r="A1842" s="26" t="s">
        <v>8852</v>
      </c>
      <c r="B1842" s="26"/>
      <c r="C1842" s="26" t="s">
        <v>8853</v>
      </c>
      <c r="D1842" s="26"/>
      <c r="E1842" s="26"/>
    </row>
    <row r="1843" spans="1:5" s="16" customFormat="1" ht="12.95" customHeight="1">
      <c r="A1843" s="26" t="s">
        <v>8854</v>
      </c>
      <c r="B1843" s="26"/>
      <c r="C1843" s="26" t="s">
        <v>8855</v>
      </c>
      <c r="D1843" s="26"/>
      <c r="E1843" s="26"/>
    </row>
    <row r="1844" spans="1:5" s="16" customFormat="1" ht="12.95" customHeight="1">
      <c r="A1844" s="26" t="s">
        <v>8856</v>
      </c>
      <c r="B1844" s="26"/>
      <c r="C1844" s="26" t="s">
        <v>8857</v>
      </c>
      <c r="D1844" s="26"/>
      <c r="E1844" s="26"/>
    </row>
    <row r="1845" spans="1:5" s="16" customFormat="1" ht="12.95" customHeight="1">
      <c r="A1845" s="26" t="s">
        <v>4688</v>
      </c>
      <c r="B1845" s="26"/>
      <c r="C1845" s="26" t="s">
        <v>7969</v>
      </c>
      <c r="D1845" s="26"/>
      <c r="E1845" s="26"/>
    </row>
    <row r="1846" spans="1:5" s="16" customFormat="1" ht="12.95" customHeight="1">
      <c r="A1846" s="26" t="s">
        <v>1027</v>
      </c>
      <c r="B1846" s="26"/>
      <c r="C1846" s="26" t="s">
        <v>8858</v>
      </c>
      <c r="D1846" s="26"/>
      <c r="E1846" s="26"/>
    </row>
    <row r="1847" spans="1:5" s="16" customFormat="1" ht="12.95" customHeight="1">
      <c r="A1847" s="26" t="s">
        <v>8859</v>
      </c>
      <c r="B1847" s="26"/>
      <c r="C1847" s="26" t="s">
        <v>8860</v>
      </c>
      <c r="D1847" s="26"/>
      <c r="E1847" s="26"/>
    </row>
    <row r="1848" spans="1:5" s="16" customFormat="1" ht="12.95" customHeight="1">
      <c r="A1848" s="26" t="s">
        <v>8861</v>
      </c>
      <c r="B1848" s="26"/>
      <c r="C1848" s="26" t="s">
        <v>8853</v>
      </c>
      <c r="D1848" s="26"/>
      <c r="E1848" s="26"/>
    </row>
    <row r="1849" spans="1:5" s="16" customFormat="1" ht="12.95" customHeight="1">
      <c r="A1849" s="26" t="s">
        <v>8862</v>
      </c>
      <c r="B1849" s="26"/>
      <c r="C1849" s="26" t="s">
        <v>8855</v>
      </c>
      <c r="D1849" s="26"/>
      <c r="E1849" s="26"/>
    </row>
    <row r="1850" spans="1:5" s="16" customFormat="1" ht="12.95" customHeight="1">
      <c r="A1850" s="26" t="s">
        <v>8863</v>
      </c>
      <c r="B1850" s="26"/>
      <c r="C1850" s="26" t="s">
        <v>8857</v>
      </c>
      <c r="D1850" s="26"/>
      <c r="E1850" s="26"/>
    </row>
    <row r="1851" spans="1:5" s="16" customFormat="1" ht="12.95" customHeight="1">
      <c r="A1851" s="26" t="s">
        <v>8864</v>
      </c>
      <c r="B1851" s="26"/>
      <c r="C1851" s="26" t="s">
        <v>7969</v>
      </c>
      <c r="D1851" s="26"/>
      <c r="E1851" s="26"/>
    </row>
    <row r="1852" spans="1:5" s="16" customFormat="1" ht="12.95" customHeight="1">
      <c r="A1852" s="26" t="s">
        <v>8865</v>
      </c>
      <c r="B1852" s="26"/>
      <c r="C1852" s="26" t="s">
        <v>8858</v>
      </c>
      <c r="D1852" s="26"/>
      <c r="E1852" s="26"/>
    </row>
    <row r="1853" spans="1:5" s="16" customFormat="1" ht="12.95" customHeight="1">
      <c r="A1853" s="26" t="s">
        <v>8866</v>
      </c>
      <c r="B1853" s="26"/>
      <c r="C1853" s="26" t="s">
        <v>8867</v>
      </c>
      <c r="D1853" s="26"/>
      <c r="E1853" s="26"/>
    </row>
    <row r="1854" spans="1:5" s="16" customFormat="1" ht="12.95" customHeight="1">
      <c r="A1854" s="26" t="s">
        <v>8868</v>
      </c>
      <c r="B1854" s="26"/>
      <c r="C1854" s="26" t="s">
        <v>8869</v>
      </c>
      <c r="D1854" s="26"/>
      <c r="E1854" s="26"/>
    </row>
    <row r="1855" spans="1:5" s="16" customFormat="1" ht="12.95" customHeight="1">
      <c r="A1855" s="26" t="s">
        <v>8870</v>
      </c>
      <c r="B1855" s="26"/>
      <c r="C1855" s="26" t="s">
        <v>8869</v>
      </c>
      <c r="D1855" s="26"/>
      <c r="E1855" s="26"/>
    </row>
    <row r="1856" spans="1:5" s="16" customFormat="1" ht="12.95" customHeight="1">
      <c r="A1856" s="26" t="s">
        <v>8871</v>
      </c>
      <c r="B1856" s="26"/>
      <c r="C1856" s="26" t="s">
        <v>8872</v>
      </c>
      <c r="D1856" s="26"/>
      <c r="E1856" s="26"/>
    </row>
    <row r="1857" spans="1:5" s="16" customFormat="1" ht="12.95" customHeight="1">
      <c r="A1857" s="26" t="s">
        <v>8873</v>
      </c>
      <c r="B1857" s="26"/>
      <c r="C1857" s="26" t="s">
        <v>8874</v>
      </c>
      <c r="D1857" s="26"/>
      <c r="E1857" s="26"/>
    </row>
    <row r="1858" spans="1:5" s="16" customFormat="1" ht="12.95" customHeight="1">
      <c r="A1858" s="26" t="s">
        <v>8875</v>
      </c>
      <c r="B1858" s="26"/>
      <c r="C1858" s="26" t="s">
        <v>8876</v>
      </c>
      <c r="D1858" s="26"/>
      <c r="E1858" s="26"/>
    </row>
    <row r="1859" spans="1:5" s="16" customFormat="1" ht="12.95" customHeight="1">
      <c r="A1859" s="26" t="s">
        <v>8877</v>
      </c>
      <c r="B1859" s="26"/>
      <c r="C1859" s="26" t="s">
        <v>8878</v>
      </c>
      <c r="D1859" s="26"/>
      <c r="E1859" s="26"/>
    </row>
    <row r="1860" spans="1:5" s="16" customFormat="1" ht="12.95" customHeight="1">
      <c r="A1860" s="26" t="s">
        <v>8879</v>
      </c>
      <c r="B1860" s="26"/>
      <c r="C1860" s="26" t="s">
        <v>8880</v>
      </c>
      <c r="D1860" s="26"/>
      <c r="E1860" s="26"/>
    </row>
    <row r="1861" spans="1:5" s="16" customFormat="1" ht="12.95" customHeight="1">
      <c r="A1861" s="26" t="s">
        <v>8881</v>
      </c>
      <c r="B1861" s="26"/>
      <c r="C1861" s="26" t="s">
        <v>8882</v>
      </c>
      <c r="D1861" s="26"/>
      <c r="E1861" s="26"/>
    </row>
    <row r="1862" spans="1:5" s="16" customFormat="1" ht="12.95" customHeight="1">
      <c r="A1862" s="26" t="s">
        <v>8883</v>
      </c>
      <c r="B1862" s="26"/>
      <c r="C1862" s="26" t="s">
        <v>8884</v>
      </c>
      <c r="D1862" s="26"/>
      <c r="E1862" s="26"/>
    </row>
    <row r="1863" spans="1:5" s="16" customFormat="1" ht="12.95" customHeight="1">
      <c r="A1863" s="26" t="s">
        <v>8885</v>
      </c>
      <c r="B1863" s="26"/>
      <c r="C1863" s="26" t="s">
        <v>8876</v>
      </c>
      <c r="D1863" s="26"/>
      <c r="E1863" s="26"/>
    </row>
    <row r="1864" spans="1:5" s="16" customFormat="1" ht="12.95" customHeight="1">
      <c r="A1864" s="26" t="s">
        <v>8886</v>
      </c>
      <c r="B1864" s="26"/>
      <c r="C1864" s="26" t="s">
        <v>8878</v>
      </c>
      <c r="D1864" s="26"/>
      <c r="E1864" s="26"/>
    </row>
    <row r="1865" spans="1:5" s="16" customFormat="1" ht="12.95" customHeight="1">
      <c r="A1865" s="26" t="s">
        <v>8887</v>
      </c>
      <c r="B1865" s="26"/>
      <c r="C1865" s="26" t="s">
        <v>8880</v>
      </c>
      <c r="D1865" s="26"/>
      <c r="E1865" s="26"/>
    </row>
    <row r="1866" spans="1:5" s="16" customFormat="1" ht="12.95" customHeight="1">
      <c r="A1866" s="26" t="s">
        <v>8888</v>
      </c>
      <c r="B1866" s="26"/>
      <c r="C1866" s="26" t="s">
        <v>8882</v>
      </c>
      <c r="D1866" s="26"/>
      <c r="E1866" s="26"/>
    </row>
    <row r="1867" spans="1:5" s="16" customFormat="1" ht="12.95" customHeight="1">
      <c r="A1867" s="26" t="s">
        <v>8889</v>
      </c>
      <c r="B1867" s="26"/>
      <c r="C1867" s="26" t="s">
        <v>8884</v>
      </c>
      <c r="D1867" s="26"/>
      <c r="E1867" s="26"/>
    </row>
    <row r="1868" spans="1:5" s="16" customFormat="1" ht="12.95" customHeight="1">
      <c r="A1868" s="26" t="s">
        <v>8890</v>
      </c>
      <c r="B1868" s="26"/>
      <c r="C1868" s="26" t="s">
        <v>8891</v>
      </c>
      <c r="D1868" s="26"/>
      <c r="E1868" s="26"/>
    </row>
    <row r="1869" spans="1:5" s="16" customFormat="1" ht="12.95" customHeight="1">
      <c r="A1869" s="26" t="s">
        <v>8892</v>
      </c>
      <c r="B1869" s="26"/>
      <c r="C1869" s="26" t="s">
        <v>8893</v>
      </c>
      <c r="D1869" s="26"/>
      <c r="E1869" s="26"/>
    </row>
    <row r="1870" spans="1:5" s="16" customFormat="1" ht="12.95" customHeight="1">
      <c r="A1870" s="26" t="s">
        <v>4436</v>
      </c>
      <c r="B1870" s="26"/>
      <c r="C1870" s="26" t="s">
        <v>8894</v>
      </c>
      <c r="D1870" s="26"/>
      <c r="E1870" s="26"/>
    </row>
    <row r="1871" spans="1:5" s="16" customFormat="1" ht="12.95" customHeight="1">
      <c r="A1871" s="26" t="s">
        <v>8895</v>
      </c>
      <c r="B1871" s="26"/>
      <c r="C1871" s="26" t="s">
        <v>8896</v>
      </c>
      <c r="D1871" s="26"/>
      <c r="E1871" s="26"/>
    </row>
    <row r="1872" spans="1:5" s="16" customFormat="1" ht="12.95" customHeight="1">
      <c r="A1872" s="26" t="s">
        <v>8897</v>
      </c>
      <c r="B1872" s="26"/>
      <c r="C1872" s="26" t="s">
        <v>8898</v>
      </c>
      <c r="D1872" s="26"/>
      <c r="E1872" s="26"/>
    </row>
    <row r="1873" spans="1:5" s="16" customFormat="1" ht="12.95" customHeight="1">
      <c r="A1873" s="26" t="s">
        <v>8899</v>
      </c>
      <c r="B1873" s="26"/>
      <c r="C1873" s="26" t="s">
        <v>8900</v>
      </c>
      <c r="D1873" s="26"/>
      <c r="E1873" s="26"/>
    </row>
    <row r="1874" spans="1:5" s="16" customFormat="1" ht="12.95" customHeight="1">
      <c r="A1874" s="26" t="s">
        <v>8901</v>
      </c>
      <c r="B1874" s="26"/>
      <c r="C1874" s="26" t="s">
        <v>8902</v>
      </c>
      <c r="D1874" s="26"/>
      <c r="E1874" s="26"/>
    </row>
    <row r="1875" spans="1:5" s="16" customFormat="1" ht="12.95" customHeight="1">
      <c r="A1875" s="26" t="s">
        <v>8903</v>
      </c>
      <c r="B1875" s="26"/>
      <c r="C1875" s="26" t="s">
        <v>8904</v>
      </c>
      <c r="D1875" s="26"/>
      <c r="E1875" s="26"/>
    </row>
    <row r="1876" spans="1:5" s="16" customFormat="1" ht="12.95" customHeight="1">
      <c r="A1876" s="26" t="s">
        <v>8905</v>
      </c>
      <c r="B1876" s="26"/>
      <c r="C1876" s="26" t="s">
        <v>8906</v>
      </c>
      <c r="D1876" s="26"/>
      <c r="E1876" s="26"/>
    </row>
    <row r="1877" spans="1:5" s="16" customFormat="1" ht="12.95" customHeight="1">
      <c r="A1877" s="26" t="s">
        <v>8907</v>
      </c>
      <c r="B1877" s="26"/>
      <c r="C1877" s="26" t="s">
        <v>8908</v>
      </c>
      <c r="D1877" s="26"/>
      <c r="E1877" s="26"/>
    </row>
    <row r="1878" spans="1:5" s="16" customFormat="1" ht="12.95" customHeight="1">
      <c r="A1878" s="26" t="s">
        <v>2348</v>
      </c>
      <c r="B1878" s="26"/>
      <c r="C1878" s="26" t="s">
        <v>8909</v>
      </c>
      <c r="D1878" s="26"/>
      <c r="E1878" s="26"/>
    </row>
    <row r="1879" spans="1:5" s="16" customFormat="1" ht="12.95" customHeight="1">
      <c r="A1879" s="26" t="s">
        <v>8910</v>
      </c>
      <c r="B1879" s="26"/>
      <c r="C1879" s="26" t="s">
        <v>8911</v>
      </c>
      <c r="D1879" s="26"/>
      <c r="E1879" s="26"/>
    </row>
    <row r="1880" spans="1:5" s="16" customFormat="1" ht="12.95" customHeight="1">
      <c r="A1880" s="26" t="s">
        <v>8912</v>
      </c>
      <c r="B1880" s="26"/>
      <c r="C1880" s="26" t="s">
        <v>8913</v>
      </c>
      <c r="D1880" s="26"/>
      <c r="E1880" s="26"/>
    </row>
    <row r="1881" spans="1:5" s="16" customFormat="1" ht="12.95" customHeight="1">
      <c r="A1881" s="26" t="s">
        <v>569</v>
      </c>
      <c r="B1881" s="26"/>
      <c r="C1881" s="26" t="s">
        <v>8914</v>
      </c>
      <c r="D1881" s="26"/>
      <c r="E1881" s="26"/>
    </row>
    <row r="1882" spans="1:5" s="16" customFormat="1" ht="12.95" customHeight="1">
      <c r="A1882" s="26" t="s">
        <v>8915</v>
      </c>
      <c r="B1882" s="26"/>
      <c r="C1882" s="26" t="s">
        <v>8916</v>
      </c>
      <c r="D1882" s="26"/>
      <c r="E1882" s="26"/>
    </row>
    <row r="1883" spans="1:5" s="16" customFormat="1" ht="12.95" customHeight="1">
      <c r="A1883" s="26" t="s">
        <v>8917</v>
      </c>
      <c r="B1883" s="26"/>
      <c r="C1883" s="26" t="s">
        <v>8913</v>
      </c>
      <c r="D1883" s="26"/>
      <c r="E1883" s="26"/>
    </row>
    <row r="1884" spans="1:5" s="16" customFormat="1" ht="12.95" customHeight="1">
      <c r="A1884" s="26" t="s">
        <v>8918</v>
      </c>
      <c r="B1884" s="26"/>
      <c r="C1884" s="26" t="s">
        <v>8914</v>
      </c>
      <c r="D1884" s="26"/>
      <c r="E1884" s="26"/>
    </row>
    <row r="1885" spans="1:5" s="16" customFormat="1" ht="12.95" customHeight="1">
      <c r="A1885" s="26" t="s">
        <v>8919</v>
      </c>
      <c r="B1885" s="26"/>
      <c r="C1885" s="26" t="s">
        <v>8916</v>
      </c>
      <c r="D1885" s="26"/>
      <c r="E1885" s="26"/>
    </row>
    <row r="1886" spans="1:5" s="16" customFormat="1" ht="12.95" customHeight="1">
      <c r="A1886" s="26" t="s">
        <v>8920</v>
      </c>
      <c r="B1886" s="26"/>
      <c r="C1886" s="26" t="s">
        <v>8921</v>
      </c>
      <c r="D1886" s="26"/>
      <c r="E1886" s="26"/>
    </row>
    <row r="1887" spans="1:5" s="16" customFormat="1" ht="12.95" customHeight="1">
      <c r="A1887" s="26" t="s">
        <v>8920</v>
      </c>
      <c r="B1887" s="26"/>
      <c r="C1887" s="26" t="s">
        <v>8921</v>
      </c>
      <c r="D1887" s="26"/>
      <c r="E1887" s="26"/>
    </row>
    <row r="1888" spans="1:5" s="16" customFormat="1" ht="12.95" customHeight="1">
      <c r="A1888" s="26" t="s">
        <v>8922</v>
      </c>
      <c r="B1888" s="26"/>
      <c r="C1888" s="26" t="s">
        <v>8923</v>
      </c>
      <c r="D1888" s="26"/>
      <c r="E1888" s="26"/>
    </row>
    <row r="1889" spans="1:5" s="16" customFormat="1" ht="12.95" customHeight="1">
      <c r="A1889" s="26" t="s">
        <v>1490</v>
      </c>
      <c r="B1889" s="26"/>
      <c r="C1889" s="26" t="s">
        <v>8924</v>
      </c>
      <c r="D1889" s="26"/>
      <c r="E1889" s="26"/>
    </row>
    <row r="1890" spans="1:5" s="16" customFormat="1" ht="12.95" customHeight="1">
      <c r="A1890" s="26" t="s">
        <v>8925</v>
      </c>
      <c r="B1890" s="26"/>
      <c r="C1890" s="26" t="s">
        <v>8926</v>
      </c>
      <c r="D1890" s="26"/>
      <c r="E1890" s="26"/>
    </row>
    <row r="1891" spans="1:5" s="16" customFormat="1" ht="12.95" customHeight="1">
      <c r="A1891" s="26" t="s">
        <v>8927</v>
      </c>
      <c r="B1891" s="26"/>
      <c r="C1891" s="26" t="s">
        <v>8928</v>
      </c>
      <c r="D1891" s="26"/>
      <c r="E1891" s="26"/>
    </row>
    <row r="1892" spans="1:5" s="16" customFormat="1" ht="12.95" customHeight="1">
      <c r="A1892" s="26" t="s">
        <v>8929</v>
      </c>
      <c r="B1892" s="26"/>
      <c r="C1892" s="26" t="s">
        <v>8930</v>
      </c>
      <c r="D1892" s="26"/>
      <c r="E1892" s="26"/>
    </row>
    <row r="1893" spans="1:5" s="16" customFormat="1" ht="12.95" customHeight="1">
      <c r="A1893" s="26" t="s">
        <v>8931</v>
      </c>
      <c r="B1893" s="26"/>
      <c r="C1893" s="26" t="s">
        <v>8932</v>
      </c>
      <c r="D1893" s="26"/>
      <c r="E1893" s="26"/>
    </row>
    <row r="1894" spans="1:5" s="16" customFormat="1" ht="12.95" customHeight="1">
      <c r="A1894" s="26" t="s">
        <v>7818</v>
      </c>
      <c r="B1894" s="26"/>
      <c r="C1894" s="26" t="s">
        <v>8933</v>
      </c>
      <c r="D1894" s="26"/>
      <c r="E1894" s="26"/>
    </row>
    <row r="1895" spans="1:5" s="16" customFormat="1" ht="12.95" customHeight="1">
      <c r="A1895" s="26" t="s">
        <v>8934</v>
      </c>
      <c r="B1895" s="26"/>
      <c r="C1895" s="26" t="s">
        <v>8935</v>
      </c>
      <c r="D1895" s="26"/>
      <c r="E1895" s="26"/>
    </row>
    <row r="1896" spans="1:5" s="16" customFormat="1" ht="12.95" customHeight="1">
      <c r="A1896" s="26" t="s">
        <v>8936</v>
      </c>
      <c r="B1896" s="26"/>
      <c r="C1896" s="26" t="s">
        <v>8937</v>
      </c>
      <c r="D1896" s="26"/>
      <c r="E1896" s="26"/>
    </row>
    <row r="1897" spans="1:5" s="16" customFormat="1" ht="12.95" customHeight="1">
      <c r="A1897" s="26" t="s">
        <v>8938</v>
      </c>
      <c r="B1897" s="26"/>
      <c r="C1897" s="26" t="s">
        <v>8932</v>
      </c>
      <c r="D1897" s="26"/>
      <c r="E1897" s="26"/>
    </row>
    <row r="1898" spans="1:5" s="16" customFormat="1" ht="12.95" customHeight="1">
      <c r="A1898" s="26" t="s">
        <v>4623</v>
      </c>
      <c r="B1898" s="26"/>
      <c r="C1898" s="26" t="s">
        <v>8939</v>
      </c>
      <c r="D1898" s="26"/>
      <c r="E1898" s="26"/>
    </row>
    <row r="1899" spans="1:5" s="16" customFormat="1" ht="12.95" customHeight="1">
      <c r="A1899" s="26" t="s">
        <v>2924</v>
      </c>
      <c r="B1899" s="26"/>
      <c r="C1899" s="26" t="s">
        <v>8933</v>
      </c>
      <c r="D1899" s="26"/>
      <c r="E1899" s="26"/>
    </row>
    <row r="1900" spans="1:5" s="16" customFormat="1" ht="12.95" customHeight="1">
      <c r="A1900" s="26" t="s">
        <v>8940</v>
      </c>
      <c r="B1900" s="26"/>
      <c r="C1900" s="26" t="s">
        <v>8935</v>
      </c>
      <c r="D1900" s="26"/>
      <c r="E1900" s="26"/>
    </row>
    <row r="1901" spans="1:5" s="16" customFormat="1" ht="12.95" customHeight="1">
      <c r="A1901" s="26" t="s">
        <v>8941</v>
      </c>
      <c r="B1901" s="26"/>
      <c r="C1901" s="26" t="s">
        <v>8937</v>
      </c>
      <c r="D1901" s="26"/>
      <c r="E1901" s="26"/>
    </row>
    <row r="1902" spans="1:5" s="16" customFormat="1" ht="12.95" customHeight="1">
      <c r="A1902" s="26" t="s">
        <v>8942</v>
      </c>
      <c r="B1902" s="26"/>
      <c r="C1902" s="26" t="s">
        <v>8932</v>
      </c>
      <c r="D1902" s="26"/>
      <c r="E1902" s="26"/>
    </row>
    <row r="1903" spans="1:5" s="16" customFormat="1" ht="12.95" customHeight="1">
      <c r="A1903" s="26" t="s">
        <v>8943</v>
      </c>
      <c r="B1903" s="26"/>
      <c r="C1903" s="26" t="s">
        <v>8944</v>
      </c>
      <c r="D1903" s="26"/>
      <c r="E1903" s="26"/>
    </row>
    <row r="1904" spans="1:5" s="16" customFormat="1" ht="12.95" customHeight="1">
      <c r="A1904" s="26" t="s">
        <v>8945</v>
      </c>
      <c r="B1904" s="26"/>
      <c r="C1904" s="26" t="s">
        <v>8946</v>
      </c>
      <c r="D1904" s="26"/>
      <c r="E1904" s="26"/>
    </row>
    <row r="1905" spans="1:5" s="16" customFormat="1" ht="12.95" customHeight="1">
      <c r="A1905" s="26" t="s">
        <v>8947</v>
      </c>
      <c r="B1905" s="26"/>
      <c r="C1905" s="26" t="s">
        <v>8946</v>
      </c>
      <c r="D1905" s="26"/>
      <c r="E1905" s="26"/>
    </row>
    <row r="1906" spans="1:5" s="16" customFormat="1" ht="12.95" customHeight="1">
      <c r="A1906" s="26" t="s">
        <v>8948</v>
      </c>
      <c r="B1906" s="26"/>
      <c r="C1906" s="26" t="s">
        <v>8944</v>
      </c>
      <c r="D1906" s="26"/>
      <c r="E1906" s="26"/>
    </row>
    <row r="1907" spans="1:5" s="16" customFormat="1" ht="12.95" customHeight="1">
      <c r="A1907" s="26" t="s">
        <v>8949</v>
      </c>
      <c r="B1907" s="26"/>
      <c r="C1907" s="26" t="s">
        <v>8950</v>
      </c>
      <c r="D1907" s="26"/>
      <c r="E1907" s="26"/>
    </row>
    <row r="1908" spans="1:5" s="16" customFormat="1" ht="12.95" customHeight="1">
      <c r="A1908" s="26" t="s">
        <v>8949</v>
      </c>
      <c r="B1908" s="26"/>
      <c r="C1908" s="26" t="s">
        <v>8950</v>
      </c>
      <c r="D1908" s="26"/>
      <c r="E1908" s="26"/>
    </row>
    <row r="1909" spans="1:5" s="16" customFormat="1" ht="12.95" customHeight="1">
      <c r="A1909" s="26" t="s">
        <v>2097</v>
      </c>
      <c r="B1909" s="26"/>
      <c r="C1909" s="26" t="s">
        <v>8951</v>
      </c>
      <c r="D1909" s="26"/>
      <c r="E1909" s="26"/>
    </row>
    <row r="1910" spans="1:5" s="16" customFormat="1" ht="12.95" customHeight="1">
      <c r="A1910" s="26" t="s">
        <v>7536</v>
      </c>
      <c r="B1910" s="26"/>
      <c r="C1910" s="26" t="s">
        <v>8952</v>
      </c>
      <c r="D1910" s="26"/>
      <c r="E1910" s="26"/>
    </row>
    <row r="1911" spans="1:5" s="16" customFormat="1" ht="12.95" customHeight="1">
      <c r="A1911" s="26" t="s">
        <v>5518</v>
      </c>
      <c r="B1911" s="26"/>
      <c r="C1911" s="26" t="s">
        <v>8953</v>
      </c>
      <c r="D1911" s="26"/>
      <c r="E1911" s="26"/>
    </row>
    <row r="1912" spans="1:5" s="16" customFormat="1" ht="12.95" customHeight="1">
      <c r="A1912" s="26" t="s">
        <v>8954</v>
      </c>
      <c r="B1912" s="26"/>
      <c r="C1912" s="26" t="s">
        <v>8955</v>
      </c>
      <c r="D1912" s="26"/>
      <c r="E1912" s="26"/>
    </row>
    <row r="1913" spans="1:5" s="16" customFormat="1" ht="12.95" customHeight="1">
      <c r="A1913" s="26" t="s">
        <v>8956</v>
      </c>
      <c r="B1913" s="26"/>
      <c r="C1913" s="26" t="s">
        <v>8957</v>
      </c>
      <c r="D1913" s="26"/>
      <c r="E1913" s="26"/>
    </row>
    <row r="1914" spans="1:5" s="16" customFormat="1" ht="12.95" customHeight="1">
      <c r="A1914" s="26" t="s">
        <v>5882</v>
      </c>
      <c r="B1914" s="26"/>
      <c r="C1914" s="26" t="s">
        <v>8951</v>
      </c>
      <c r="D1914" s="26"/>
      <c r="E1914" s="26"/>
    </row>
    <row r="1915" spans="1:5" s="16" customFormat="1" ht="12.95" customHeight="1">
      <c r="A1915" s="26" t="s">
        <v>2645</v>
      </c>
      <c r="B1915" s="26"/>
      <c r="C1915" s="26" t="s">
        <v>8952</v>
      </c>
      <c r="D1915" s="26"/>
      <c r="E1915" s="26"/>
    </row>
    <row r="1916" spans="1:5" s="16" customFormat="1" ht="12.95" customHeight="1">
      <c r="A1916" s="26" t="s">
        <v>76</v>
      </c>
      <c r="B1916" s="26"/>
      <c r="C1916" s="26" t="s">
        <v>8953</v>
      </c>
      <c r="D1916" s="26"/>
      <c r="E1916" s="26"/>
    </row>
    <row r="1917" spans="1:5" s="16" customFormat="1" ht="12.95" customHeight="1">
      <c r="A1917" s="26" t="s">
        <v>8958</v>
      </c>
      <c r="B1917" s="26"/>
      <c r="C1917" s="26" t="s">
        <v>8955</v>
      </c>
      <c r="D1917" s="26"/>
      <c r="E1917" s="26"/>
    </row>
    <row r="1918" spans="1:5" s="16" customFormat="1" ht="12.95" customHeight="1">
      <c r="A1918" s="26" t="s">
        <v>8959</v>
      </c>
      <c r="B1918" s="26"/>
      <c r="C1918" s="26" t="s">
        <v>8960</v>
      </c>
      <c r="D1918" s="26"/>
      <c r="E1918" s="26"/>
    </row>
    <row r="1919" spans="1:5" s="16" customFormat="1" ht="12.95" customHeight="1">
      <c r="A1919" s="26" t="s">
        <v>1902</v>
      </c>
      <c r="B1919" s="26"/>
      <c r="C1919" s="26" t="s">
        <v>8961</v>
      </c>
      <c r="D1919" s="26"/>
      <c r="E1919" s="26"/>
    </row>
    <row r="1920" spans="1:5" s="16" customFormat="1" ht="12.95" customHeight="1">
      <c r="A1920" s="26" t="s">
        <v>8962</v>
      </c>
      <c r="B1920" s="26"/>
      <c r="C1920" s="26" t="s">
        <v>8961</v>
      </c>
      <c r="D1920" s="26"/>
      <c r="E1920" s="26"/>
    </row>
    <row r="1921" spans="1:5" s="16" customFormat="1" ht="12.95" customHeight="1">
      <c r="A1921" s="26" t="s">
        <v>8963</v>
      </c>
      <c r="B1921" s="26"/>
      <c r="C1921" s="26" t="s">
        <v>8964</v>
      </c>
      <c r="D1921" s="26"/>
      <c r="E1921" s="26"/>
    </row>
    <row r="1922" spans="1:5" s="16" customFormat="1" ht="12.95" customHeight="1">
      <c r="A1922" s="26" t="s">
        <v>8963</v>
      </c>
      <c r="B1922" s="26"/>
      <c r="C1922" s="26" t="s">
        <v>8964</v>
      </c>
      <c r="D1922" s="26"/>
      <c r="E1922" s="26"/>
    </row>
    <row r="1923" spans="1:5" s="16" customFormat="1" ht="12.95" customHeight="1">
      <c r="A1923" s="26" t="s">
        <v>8965</v>
      </c>
      <c r="B1923" s="26"/>
      <c r="C1923" s="26" t="s">
        <v>8966</v>
      </c>
      <c r="D1923" s="26"/>
      <c r="E1923" s="26"/>
    </row>
    <row r="1924" spans="1:5" s="16" customFormat="1" ht="12.95" customHeight="1">
      <c r="A1924" s="26" t="s">
        <v>3861</v>
      </c>
      <c r="B1924" s="26"/>
      <c r="C1924" s="26" t="s">
        <v>7952</v>
      </c>
      <c r="D1924" s="26"/>
      <c r="E1924" s="26"/>
    </row>
    <row r="1925" spans="1:5" s="16" customFormat="1" ht="12.95" customHeight="1">
      <c r="A1925" s="26" t="s">
        <v>846</v>
      </c>
      <c r="B1925" s="26"/>
      <c r="C1925" s="26" t="s">
        <v>8967</v>
      </c>
      <c r="D1925" s="26"/>
      <c r="E1925" s="26"/>
    </row>
    <row r="1926" spans="1:5" s="16" customFormat="1" ht="12.95" customHeight="1">
      <c r="A1926" s="26" t="s">
        <v>8968</v>
      </c>
      <c r="B1926" s="26"/>
      <c r="C1926" s="26" t="s">
        <v>8969</v>
      </c>
      <c r="D1926" s="26"/>
      <c r="E1926" s="26"/>
    </row>
    <row r="1927" spans="1:5" s="16" customFormat="1" ht="12.95" customHeight="1">
      <c r="A1927" s="26" t="s">
        <v>8970</v>
      </c>
      <c r="B1927" s="26"/>
      <c r="C1927" s="26" t="s">
        <v>8971</v>
      </c>
      <c r="D1927" s="26"/>
      <c r="E1927" s="26"/>
    </row>
    <row r="1928" spans="1:5" s="16" customFormat="1" ht="12.95" customHeight="1">
      <c r="A1928" s="26" t="s">
        <v>2666</v>
      </c>
      <c r="B1928" s="26"/>
      <c r="C1928" s="26" t="s">
        <v>7952</v>
      </c>
      <c r="D1928" s="26"/>
      <c r="E1928" s="26"/>
    </row>
    <row r="1929" spans="1:5" s="16" customFormat="1" ht="12.95" customHeight="1">
      <c r="A1929" s="26" t="s">
        <v>8972</v>
      </c>
      <c r="B1929" s="26"/>
      <c r="C1929" s="26" t="s">
        <v>8967</v>
      </c>
      <c r="D1929" s="26"/>
      <c r="E1929" s="26"/>
    </row>
    <row r="1930" spans="1:5" s="16" customFormat="1" ht="12.95" customHeight="1">
      <c r="A1930" s="26" t="s">
        <v>8973</v>
      </c>
      <c r="B1930" s="26"/>
      <c r="C1930" s="26" t="s">
        <v>8969</v>
      </c>
      <c r="D1930" s="26"/>
      <c r="E1930" s="26"/>
    </row>
    <row r="1931" spans="1:5" s="16" customFormat="1" ht="12.95" customHeight="1">
      <c r="A1931" s="26" t="s">
        <v>8974</v>
      </c>
      <c r="B1931" s="26"/>
      <c r="C1931" s="26" t="s">
        <v>8975</v>
      </c>
      <c r="D1931" s="26"/>
      <c r="E1931" s="26"/>
    </row>
    <row r="1932" spans="1:5" s="16" customFormat="1" ht="12.95" customHeight="1">
      <c r="A1932" s="26" t="s">
        <v>2509</v>
      </c>
      <c r="B1932" s="26"/>
      <c r="C1932" s="26" t="s">
        <v>8976</v>
      </c>
      <c r="D1932" s="26"/>
      <c r="E1932" s="26"/>
    </row>
    <row r="1933" spans="1:5" s="16" customFormat="1" ht="12.95" customHeight="1">
      <c r="A1933" s="26" t="s">
        <v>2509</v>
      </c>
      <c r="B1933" s="26"/>
      <c r="C1933" s="26" t="s">
        <v>8976</v>
      </c>
      <c r="D1933" s="26"/>
      <c r="E1933" s="26"/>
    </row>
    <row r="1934" spans="1:5" s="16" customFormat="1" ht="12.95" customHeight="1">
      <c r="A1934" s="26" t="s">
        <v>1054</v>
      </c>
      <c r="B1934" s="26"/>
      <c r="C1934" s="26" t="s">
        <v>93</v>
      </c>
      <c r="D1934" s="26"/>
      <c r="E1934" s="26"/>
    </row>
    <row r="1935" spans="1:5" s="16" customFormat="1" ht="12.95" customHeight="1">
      <c r="A1935" s="26" t="s">
        <v>8977</v>
      </c>
      <c r="B1935" s="26"/>
      <c r="C1935" s="26" t="s">
        <v>8978</v>
      </c>
      <c r="D1935" s="26"/>
      <c r="E1935" s="26"/>
    </row>
    <row r="1936" spans="1:5" s="16" customFormat="1" ht="12.95" customHeight="1">
      <c r="A1936" s="26" t="s">
        <v>8979</v>
      </c>
      <c r="B1936" s="26"/>
      <c r="C1936" s="26" t="s">
        <v>8980</v>
      </c>
      <c r="D1936" s="26"/>
      <c r="E1936" s="26"/>
    </row>
    <row r="1937" spans="1:5" s="16" customFormat="1" ht="12.95" customHeight="1">
      <c r="A1937" s="26" t="s">
        <v>1648</v>
      </c>
      <c r="B1937" s="26"/>
      <c r="C1937" s="26" t="s">
        <v>93</v>
      </c>
      <c r="D1937" s="26"/>
      <c r="E1937" s="26"/>
    </row>
    <row r="1938" spans="1:5" s="16" customFormat="1" ht="12.95" customHeight="1">
      <c r="A1938" s="26" t="s">
        <v>8981</v>
      </c>
      <c r="B1938" s="26"/>
      <c r="C1938" s="26" t="s">
        <v>8978</v>
      </c>
      <c r="D1938" s="26"/>
      <c r="E1938" s="26"/>
    </row>
    <row r="1939" spans="1:5" s="16" customFormat="1" ht="12.95" customHeight="1">
      <c r="A1939" s="26" t="s">
        <v>8982</v>
      </c>
      <c r="B1939" s="26"/>
      <c r="C1939" s="26" t="s">
        <v>8980</v>
      </c>
      <c r="D1939" s="26"/>
      <c r="E1939" s="26"/>
    </row>
    <row r="1940" spans="1:5" s="16" customFormat="1" ht="12.95" customHeight="1">
      <c r="A1940" s="26" t="s">
        <v>8983</v>
      </c>
      <c r="B1940" s="26"/>
      <c r="C1940" s="26" t="s">
        <v>8984</v>
      </c>
      <c r="D1940" s="26"/>
      <c r="E1940" s="26"/>
    </row>
    <row r="1941" spans="1:5" s="16" customFormat="1" ht="12.95" customHeight="1">
      <c r="A1941" s="26" t="s">
        <v>8985</v>
      </c>
      <c r="B1941" s="26"/>
      <c r="C1941" s="26" t="s">
        <v>8984</v>
      </c>
      <c r="D1941" s="26"/>
      <c r="E1941" s="26"/>
    </row>
    <row r="1942" spans="1:5" s="16" customFormat="1" ht="12.95" customHeight="1">
      <c r="A1942" s="26" t="s">
        <v>8986</v>
      </c>
      <c r="B1942" s="26"/>
      <c r="C1942" s="26" t="s">
        <v>8987</v>
      </c>
      <c r="D1942" s="26"/>
      <c r="E1942" s="26"/>
    </row>
    <row r="1943" spans="1:5" s="16" customFormat="1" ht="12.95" customHeight="1">
      <c r="A1943" s="26" t="s">
        <v>8988</v>
      </c>
      <c r="B1943" s="26"/>
      <c r="C1943" s="26" t="s">
        <v>8989</v>
      </c>
      <c r="D1943" s="26"/>
      <c r="E1943" s="26"/>
    </row>
    <row r="1944" spans="1:5" s="16" customFormat="1" ht="12.95" customHeight="1">
      <c r="A1944" s="26" t="s">
        <v>8990</v>
      </c>
      <c r="B1944" s="26"/>
      <c r="C1944" s="26" t="s">
        <v>8989</v>
      </c>
      <c r="D1944" s="26"/>
      <c r="E1944" s="26"/>
    </row>
    <row r="1945" spans="1:5" s="16" customFormat="1" ht="12.95" customHeight="1">
      <c r="A1945" s="26" t="s">
        <v>8991</v>
      </c>
      <c r="B1945" s="26"/>
      <c r="C1945" s="26" t="s">
        <v>8989</v>
      </c>
      <c r="D1945" s="26"/>
      <c r="E1945" s="26"/>
    </row>
    <row r="1946" spans="1:5" s="16" customFormat="1" ht="12.95" customHeight="1">
      <c r="A1946" s="26" t="s">
        <v>8992</v>
      </c>
      <c r="B1946" s="26"/>
      <c r="C1946" s="26" t="s">
        <v>8993</v>
      </c>
      <c r="D1946" s="26"/>
      <c r="E1946" s="26"/>
    </row>
    <row r="1947" spans="1:5" s="16" customFormat="1" ht="12.95" customHeight="1">
      <c r="A1947" s="26" t="s">
        <v>8994</v>
      </c>
      <c r="B1947" s="26"/>
      <c r="C1947" s="26" t="s">
        <v>7974</v>
      </c>
      <c r="D1947" s="26"/>
      <c r="E1947" s="26"/>
    </row>
    <row r="1948" spans="1:5" s="16" customFormat="1" ht="12.95" customHeight="1">
      <c r="A1948" s="26" t="s">
        <v>8995</v>
      </c>
      <c r="B1948" s="26"/>
      <c r="C1948" s="26" t="s">
        <v>8996</v>
      </c>
      <c r="D1948" s="26"/>
      <c r="E1948" s="26"/>
    </row>
    <row r="1949" spans="1:5" s="16" customFormat="1" ht="12.95" customHeight="1">
      <c r="A1949" s="26" t="s">
        <v>8997</v>
      </c>
      <c r="B1949" s="26"/>
      <c r="C1949" s="26" t="s">
        <v>7974</v>
      </c>
      <c r="D1949" s="26"/>
      <c r="E1949" s="26"/>
    </row>
    <row r="1950" spans="1:5" s="16" customFormat="1" ht="12.95" customHeight="1">
      <c r="A1950" s="26" t="s">
        <v>8998</v>
      </c>
      <c r="B1950" s="26"/>
      <c r="C1950" s="26" t="s">
        <v>8999</v>
      </c>
      <c r="D1950" s="26"/>
      <c r="E1950" s="26"/>
    </row>
    <row r="1951" spans="1:5" s="16" customFormat="1" ht="12.95" customHeight="1">
      <c r="A1951" s="26" t="s">
        <v>9000</v>
      </c>
      <c r="B1951" s="26"/>
      <c r="C1951" s="26" t="s">
        <v>9001</v>
      </c>
      <c r="D1951" s="26"/>
      <c r="E1951" s="26"/>
    </row>
    <row r="1952" spans="1:5" s="16" customFormat="1" ht="12.95" customHeight="1">
      <c r="A1952" s="26" t="s">
        <v>9002</v>
      </c>
      <c r="B1952" s="26"/>
      <c r="C1952" s="26" t="s">
        <v>9003</v>
      </c>
      <c r="D1952" s="26"/>
      <c r="E1952" s="26"/>
    </row>
    <row r="1953" spans="1:5" s="16" customFormat="1" ht="12.95" customHeight="1">
      <c r="A1953" s="26" t="s">
        <v>9004</v>
      </c>
      <c r="B1953" s="26"/>
      <c r="C1953" s="26" t="s">
        <v>7974</v>
      </c>
      <c r="D1953" s="26"/>
      <c r="E1953" s="26"/>
    </row>
    <row r="1954" spans="1:5" s="16" customFormat="1" ht="12.95" customHeight="1">
      <c r="A1954" s="26" t="s">
        <v>9005</v>
      </c>
      <c r="B1954" s="26"/>
      <c r="C1954" s="26" t="s">
        <v>8999</v>
      </c>
      <c r="D1954" s="26"/>
      <c r="E1954" s="26"/>
    </row>
    <row r="1955" spans="1:5" s="16" customFormat="1" ht="12.95" customHeight="1">
      <c r="A1955" s="26" t="s">
        <v>9006</v>
      </c>
      <c r="B1955" s="26"/>
      <c r="C1955" s="26" t="s">
        <v>9003</v>
      </c>
      <c r="D1955" s="26"/>
      <c r="E1955" s="26"/>
    </row>
    <row r="1956" spans="1:5" s="16" customFormat="1" ht="12.95" customHeight="1">
      <c r="A1956" s="26" t="s">
        <v>9007</v>
      </c>
      <c r="B1956" s="26"/>
      <c r="C1956" s="26" t="s">
        <v>9008</v>
      </c>
      <c r="D1956" s="26"/>
      <c r="E1956" s="26"/>
    </row>
    <row r="1957" spans="1:5" s="16" customFormat="1" ht="12.95" customHeight="1">
      <c r="A1957" s="26" t="s">
        <v>9009</v>
      </c>
      <c r="B1957" s="26"/>
      <c r="C1957" s="26" t="s">
        <v>9008</v>
      </c>
      <c r="D1957" s="26"/>
      <c r="E1957" s="26"/>
    </row>
    <row r="1958" spans="1:5" s="16" customFormat="1" ht="12.95" customHeight="1">
      <c r="A1958" s="26" t="s">
        <v>9010</v>
      </c>
      <c r="B1958" s="26"/>
      <c r="C1958" s="26" t="s">
        <v>9011</v>
      </c>
      <c r="D1958" s="26"/>
      <c r="E1958" s="26"/>
    </row>
    <row r="1959" spans="1:5" s="16" customFormat="1" ht="12.95" customHeight="1">
      <c r="A1959" s="26" t="s">
        <v>9012</v>
      </c>
      <c r="B1959" s="26"/>
      <c r="C1959" s="26" t="s">
        <v>9013</v>
      </c>
      <c r="D1959" s="26"/>
      <c r="E1959" s="26"/>
    </row>
    <row r="1960" spans="1:5" s="16" customFormat="1" ht="12.95" customHeight="1">
      <c r="A1960" s="26" t="s">
        <v>9014</v>
      </c>
      <c r="B1960" s="26"/>
      <c r="C1960" s="26" t="s">
        <v>9015</v>
      </c>
      <c r="D1960" s="26"/>
      <c r="E1960" s="26"/>
    </row>
    <row r="1961" spans="1:5" s="16" customFormat="1" ht="12.95" customHeight="1">
      <c r="A1961" s="26" t="s">
        <v>9016</v>
      </c>
      <c r="B1961" s="26"/>
      <c r="C1961" s="26" t="s">
        <v>9017</v>
      </c>
      <c r="D1961" s="26"/>
      <c r="E1961" s="26"/>
    </row>
    <row r="1962" spans="1:5" s="16" customFormat="1" ht="12.95" customHeight="1">
      <c r="A1962" s="26" t="s">
        <v>9018</v>
      </c>
      <c r="B1962" s="26"/>
      <c r="C1962" s="26" t="s">
        <v>9019</v>
      </c>
      <c r="D1962" s="26"/>
      <c r="E1962" s="26"/>
    </row>
    <row r="1963" spans="1:5" s="16" customFormat="1" ht="12.95" customHeight="1">
      <c r="A1963" s="26" t="s">
        <v>9020</v>
      </c>
      <c r="B1963" s="26"/>
      <c r="C1963" s="26" t="s">
        <v>9021</v>
      </c>
      <c r="D1963" s="26"/>
      <c r="E1963" s="26"/>
    </row>
    <row r="1964" spans="1:5" s="16" customFormat="1" ht="12.95" customHeight="1">
      <c r="A1964" s="26" t="s">
        <v>9022</v>
      </c>
      <c r="B1964" s="26"/>
      <c r="C1964" s="26" t="s">
        <v>9015</v>
      </c>
      <c r="D1964" s="26"/>
      <c r="E1964" s="26"/>
    </row>
    <row r="1965" spans="1:5" s="16" customFormat="1" ht="12.95" customHeight="1">
      <c r="A1965" s="26" t="s">
        <v>9023</v>
      </c>
      <c r="B1965" s="26"/>
      <c r="C1965" s="26" t="s">
        <v>9017</v>
      </c>
      <c r="D1965" s="26"/>
      <c r="E1965" s="26"/>
    </row>
    <row r="1966" spans="1:5" s="16" customFormat="1" ht="12.95" customHeight="1">
      <c r="A1966" s="26" t="s">
        <v>9024</v>
      </c>
      <c r="B1966" s="26"/>
      <c r="C1966" s="26" t="s">
        <v>9019</v>
      </c>
      <c r="D1966" s="26"/>
      <c r="E1966" s="26"/>
    </row>
    <row r="1967" spans="1:5" s="16" customFormat="1" ht="12.95" customHeight="1">
      <c r="A1967" s="26" t="s">
        <v>9025</v>
      </c>
      <c r="B1967" s="26"/>
      <c r="C1967" s="26" t="s">
        <v>9021</v>
      </c>
      <c r="D1967" s="26"/>
      <c r="E1967" s="26"/>
    </row>
    <row r="1968" spans="1:5" s="16" customFormat="1" ht="12.95" customHeight="1">
      <c r="A1968" s="26" t="s">
        <v>9026</v>
      </c>
      <c r="B1968" s="26"/>
      <c r="C1968" s="26" t="s">
        <v>9027</v>
      </c>
      <c r="D1968" s="26"/>
      <c r="E1968" s="26"/>
    </row>
    <row r="1969" spans="1:5" s="16" customFormat="1" ht="12.95" customHeight="1">
      <c r="A1969" s="26" t="s">
        <v>9028</v>
      </c>
      <c r="B1969" s="26"/>
      <c r="C1969" s="26" t="s">
        <v>9027</v>
      </c>
      <c r="D1969" s="26"/>
      <c r="E1969" s="26"/>
    </row>
    <row r="1970" spans="1:5" s="16" customFormat="1" ht="12.95" customHeight="1">
      <c r="A1970" s="26" t="s">
        <v>9029</v>
      </c>
      <c r="B1970" s="26"/>
      <c r="C1970" s="26" t="s">
        <v>9030</v>
      </c>
      <c r="D1970" s="26"/>
      <c r="E1970" s="26"/>
    </row>
    <row r="1971" spans="1:5" s="16" customFormat="1" ht="12.95" customHeight="1">
      <c r="A1971" s="26" t="s">
        <v>9029</v>
      </c>
      <c r="B1971" s="26"/>
      <c r="C1971" s="26" t="s">
        <v>9030</v>
      </c>
      <c r="D1971" s="26"/>
      <c r="E1971" s="26"/>
    </row>
    <row r="1972" spans="1:5" s="16" customFormat="1" ht="12.95" customHeight="1">
      <c r="A1972" s="26" t="s">
        <v>9031</v>
      </c>
      <c r="B1972" s="26"/>
      <c r="C1972" s="26" t="s">
        <v>9032</v>
      </c>
      <c r="D1972" s="26"/>
      <c r="E1972" s="26"/>
    </row>
    <row r="1973" spans="1:5" s="16" customFormat="1" ht="12.95" customHeight="1">
      <c r="A1973" s="26" t="s">
        <v>9033</v>
      </c>
      <c r="B1973" s="26"/>
      <c r="C1973" s="26" t="s">
        <v>9034</v>
      </c>
      <c r="D1973" s="26"/>
      <c r="E1973" s="26"/>
    </row>
    <row r="1974" spans="1:5" s="16" customFormat="1" ht="12.95" customHeight="1">
      <c r="A1974" s="26" t="s">
        <v>3302</v>
      </c>
      <c r="B1974" s="26"/>
      <c r="C1974" s="26" t="s">
        <v>9035</v>
      </c>
      <c r="D1974" s="26"/>
      <c r="E1974" s="26"/>
    </row>
    <row r="1975" spans="1:5" s="16" customFormat="1" ht="12.95" customHeight="1">
      <c r="A1975" s="26" t="s">
        <v>9036</v>
      </c>
      <c r="B1975" s="26"/>
      <c r="C1975" s="26" t="s">
        <v>7967</v>
      </c>
      <c r="D1975" s="26"/>
      <c r="E1975" s="26"/>
    </row>
    <row r="1976" spans="1:5" s="16" customFormat="1" ht="12.95" customHeight="1">
      <c r="A1976" s="26" t="s">
        <v>7566</v>
      </c>
      <c r="B1976" s="26"/>
      <c r="C1976" s="26" t="s">
        <v>9037</v>
      </c>
      <c r="D1976" s="26"/>
      <c r="E1976" s="26"/>
    </row>
    <row r="1977" spans="1:5" s="16" customFormat="1" ht="12.95" customHeight="1">
      <c r="A1977" s="26" t="s">
        <v>9038</v>
      </c>
      <c r="B1977" s="26"/>
      <c r="C1977" s="26" t="s">
        <v>9039</v>
      </c>
      <c r="D1977" s="26"/>
      <c r="E1977" s="26"/>
    </row>
    <row r="1978" spans="1:5" s="16" customFormat="1" ht="12.95" customHeight="1">
      <c r="A1978" s="26" t="s">
        <v>9040</v>
      </c>
      <c r="B1978" s="26"/>
      <c r="C1978" s="26" t="s">
        <v>9041</v>
      </c>
      <c r="D1978" s="26"/>
      <c r="E1978" s="26"/>
    </row>
    <row r="1979" spans="1:5" s="16" customFormat="1" ht="12.95" customHeight="1">
      <c r="A1979" s="26" t="s">
        <v>3667</v>
      </c>
      <c r="B1979" s="26"/>
      <c r="C1979" s="26" t="s">
        <v>9042</v>
      </c>
      <c r="D1979" s="26"/>
      <c r="E1979" s="26"/>
    </row>
    <row r="1980" spans="1:5" s="16" customFormat="1" ht="12.95" customHeight="1">
      <c r="A1980" s="26" t="s">
        <v>440</v>
      </c>
      <c r="B1980" s="26"/>
      <c r="C1980" s="26" t="s">
        <v>9035</v>
      </c>
      <c r="D1980" s="26"/>
      <c r="E1980" s="26"/>
    </row>
    <row r="1981" spans="1:5" s="16" customFormat="1" ht="12.95" customHeight="1">
      <c r="A1981" s="26" t="s">
        <v>9043</v>
      </c>
      <c r="B1981" s="26"/>
      <c r="C1981" s="26" t="s">
        <v>7967</v>
      </c>
      <c r="D1981" s="26"/>
      <c r="E1981" s="26"/>
    </row>
    <row r="1982" spans="1:5" s="16" customFormat="1" ht="12.95" customHeight="1">
      <c r="A1982" s="26" t="s">
        <v>9044</v>
      </c>
      <c r="B1982" s="26"/>
      <c r="C1982" s="26" t="s">
        <v>9037</v>
      </c>
      <c r="D1982" s="26"/>
      <c r="E1982" s="26"/>
    </row>
    <row r="1983" spans="1:5" s="16" customFormat="1" ht="12.95" customHeight="1">
      <c r="A1983" s="26" t="s">
        <v>9045</v>
      </c>
      <c r="B1983" s="26"/>
      <c r="C1983" s="26" t="s">
        <v>9039</v>
      </c>
      <c r="D1983" s="26"/>
      <c r="E1983" s="26"/>
    </row>
    <row r="1984" spans="1:5" s="16" customFormat="1" ht="12.95" customHeight="1">
      <c r="A1984" s="26" t="s">
        <v>9046</v>
      </c>
      <c r="B1984" s="26"/>
      <c r="C1984" s="26" t="s">
        <v>9041</v>
      </c>
      <c r="D1984" s="26"/>
      <c r="E1984" s="26"/>
    </row>
    <row r="1985" spans="1:5" s="16" customFormat="1" ht="12.95" customHeight="1">
      <c r="A1985" s="26" t="s">
        <v>9047</v>
      </c>
      <c r="B1985" s="26"/>
      <c r="C1985" s="26" t="s">
        <v>9042</v>
      </c>
      <c r="D1985" s="26"/>
      <c r="E1985" s="26"/>
    </row>
    <row r="1986" spans="1:5" s="16" customFormat="1" ht="12.95" customHeight="1">
      <c r="A1986" s="26" t="s">
        <v>9048</v>
      </c>
      <c r="B1986" s="26"/>
      <c r="C1986" s="26" t="s">
        <v>9035</v>
      </c>
      <c r="D1986" s="26"/>
      <c r="E1986" s="26"/>
    </row>
    <row r="1987" spans="1:5" s="16" customFormat="1" ht="12.95" customHeight="1">
      <c r="A1987" s="26" t="s">
        <v>9049</v>
      </c>
      <c r="B1987" s="26"/>
      <c r="C1987" s="26" t="s">
        <v>9050</v>
      </c>
      <c r="D1987" s="26"/>
      <c r="E1987" s="26"/>
    </row>
    <row r="1988" spans="1:5" s="16" customFormat="1" ht="12.95" customHeight="1">
      <c r="A1988" s="26" t="s">
        <v>9051</v>
      </c>
      <c r="B1988" s="26"/>
      <c r="C1988" s="26" t="s">
        <v>7967</v>
      </c>
      <c r="D1988" s="26"/>
      <c r="E1988" s="26"/>
    </row>
    <row r="1989" spans="1:5" s="16" customFormat="1" ht="12.95" customHeight="1">
      <c r="A1989" s="26" t="s">
        <v>9052</v>
      </c>
      <c r="B1989" s="26"/>
      <c r="C1989" s="26" t="s">
        <v>9053</v>
      </c>
      <c r="D1989" s="26"/>
      <c r="E1989" s="26"/>
    </row>
    <row r="1990" spans="1:5" s="16" customFormat="1" ht="12.95" customHeight="1">
      <c r="A1990" s="26" t="s">
        <v>9054</v>
      </c>
      <c r="B1990" s="26"/>
      <c r="C1990" s="26" t="s">
        <v>9055</v>
      </c>
      <c r="D1990" s="26"/>
      <c r="E1990" s="26"/>
    </row>
    <row r="1991" spans="1:5" s="16" customFormat="1" ht="12.95" customHeight="1">
      <c r="A1991" s="26" t="s">
        <v>9056</v>
      </c>
      <c r="B1991" s="26"/>
      <c r="C1991" s="26" t="s">
        <v>9057</v>
      </c>
      <c r="D1991" s="26"/>
      <c r="E1991" s="26"/>
    </row>
    <row r="1992" spans="1:5" s="16" customFormat="1" ht="12.95" customHeight="1">
      <c r="A1992" s="26" t="s">
        <v>9058</v>
      </c>
      <c r="B1992" s="26"/>
      <c r="C1992" s="26" t="s">
        <v>9059</v>
      </c>
      <c r="D1992" s="26"/>
      <c r="E1992" s="26"/>
    </row>
    <row r="1993" spans="1:5" s="16" customFormat="1" ht="12.95" customHeight="1">
      <c r="A1993" s="26" t="s">
        <v>9060</v>
      </c>
      <c r="B1993" s="26"/>
      <c r="C1993" s="26" t="s">
        <v>9061</v>
      </c>
      <c r="D1993" s="26"/>
      <c r="E1993" s="26"/>
    </row>
    <row r="1994" spans="1:5" s="16" customFormat="1" ht="12.95" customHeight="1">
      <c r="A1994" s="26" t="s">
        <v>9062</v>
      </c>
      <c r="B1994" s="26"/>
      <c r="C1994" s="26" t="s">
        <v>9063</v>
      </c>
      <c r="D1994" s="26"/>
      <c r="E1994" s="26"/>
    </row>
    <row r="1995" spans="1:5" s="16" customFormat="1" ht="12.95" customHeight="1">
      <c r="A1995" s="26" t="s">
        <v>9064</v>
      </c>
      <c r="B1995" s="26"/>
      <c r="C1995" s="26" t="s">
        <v>9065</v>
      </c>
      <c r="D1995" s="26"/>
      <c r="E1995" s="26"/>
    </row>
    <row r="1996" spans="1:5" s="16" customFormat="1" ht="12.95" customHeight="1">
      <c r="A1996" s="26" t="s">
        <v>9066</v>
      </c>
      <c r="B1996" s="26"/>
      <c r="C1996" s="26" t="s">
        <v>9067</v>
      </c>
      <c r="D1996" s="26"/>
      <c r="E1996" s="26"/>
    </row>
    <row r="1997" spans="1:5" s="16" customFormat="1" ht="12.95" customHeight="1">
      <c r="A1997" s="26" t="s">
        <v>9068</v>
      </c>
      <c r="B1997" s="26"/>
      <c r="C1997" s="26" t="s">
        <v>9069</v>
      </c>
      <c r="D1997" s="26"/>
      <c r="E1997" s="26"/>
    </row>
    <row r="1998" spans="1:5" s="16" customFormat="1" ht="12.95" customHeight="1">
      <c r="A1998" s="26" t="s">
        <v>9070</v>
      </c>
      <c r="B1998" s="26"/>
      <c r="C1998" s="26" t="s">
        <v>9071</v>
      </c>
      <c r="D1998" s="26"/>
      <c r="E1998" s="26"/>
    </row>
    <row r="1999" spans="1:5" s="16" customFormat="1" ht="12.95" customHeight="1">
      <c r="A1999" s="26" t="s">
        <v>9072</v>
      </c>
      <c r="B1999" s="26"/>
      <c r="C1999" s="26" t="s">
        <v>9073</v>
      </c>
      <c r="D1999" s="26"/>
      <c r="E1999" s="26"/>
    </row>
    <row r="2000" spans="1:5" s="16" customFormat="1" ht="12.95" customHeight="1">
      <c r="A2000" s="26" t="s">
        <v>6867</v>
      </c>
      <c r="B2000" s="26"/>
      <c r="C2000" s="26" t="s">
        <v>9061</v>
      </c>
      <c r="D2000" s="26"/>
      <c r="E2000" s="26"/>
    </row>
    <row r="2001" spans="1:5" s="16" customFormat="1" ht="12.95" customHeight="1">
      <c r="A2001" s="26" t="s">
        <v>3114</v>
      </c>
      <c r="B2001" s="26"/>
      <c r="C2001" s="26" t="s">
        <v>9074</v>
      </c>
      <c r="D2001" s="26"/>
      <c r="E2001" s="26"/>
    </row>
    <row r="2002" spans="1:5" s="16" customFormat="1" ht="12.95" customHeight="1">
      <c r="A2002" s="26" t="s">
        <v>9075</v>
      </c>
      <c r="B2002" s="26"/>
      <c r="C2002" s="26" t="s">
        <v>9076</v>
      </c>
      <c r="D2002" s="26"/>
      <c r="E2002" s="26"/>
    </row>
    <row r="2003" spans="1:5" s="16" customFormat="1" ht="12.95" customHeight="1">
      <c r="A2003" s="26" t="s">
        <v>9077</v>
      </c>
      <c r="B2003" s="26"/>
      <c r="C2003" s="26" t="s">
        <v>9078</v>
      </c>
      <c r="D2003" s="26"/>
      <c r="E2003" s="26"/>
    </row>
    <row r="2004" spans="1:5" s="16" customFormat="1" ht="12.95" customHeight="1">
      <c r="A2004" s="26" t="s">
        <v>9079</v>
      </c>
      <c r="B2004" s="26"/>
      <c r="C2004" s="26" t="s">
        <v>9080</v>
      </c>
      <c r="D2004" s="26"/>
      <c r="E2004" s="26"/>
    </row>
    <row r="2005" spans="1:5" s="16" customFormat="1" ht="12.95" customHeight="1">
      <c r="A2005" s="26" t="s">
        <v>9081</v>
      </c>
      <c r="B2005" s="26"/>
      <c r="C2005" s="26" t="s">
        <v>9082</v>
      </c>
      <c r="D2005" s="26"/>
      <c r="E2005" s="26"/>
    </row>
    <row r="2006" spans="1:5" s="16" customFormat="1" ht="12.95" customHeight="1">
      <c r="A2006" s="26" t="s">
        <v>9083</v>
      </c>
      <c r="B2006" s="26"/>
      <c r="C2006" s="26" t="s">
        <v>9084</v>
      </c>
      <c r="D2006" s="26"/>
      <c r="E2006" s="26"/>
    </row>
    <row r="2007" spans="1:5" s="16" customFormat="1" ht="12.95" customHeight="1">
      <c r="A2007" s="26" t="s">
        <v>9085</v>
      </c>
      <c r="B2007" s="26"/>
      <c r="C2007" s="26" t="s">
        <v>9086</v>
      </c>
      <c r="D2007" s="26"/>
      <c r="E2007" s="26"/>
    </row>
    <row r="2008" spans="1:5" s="16" customFormat="1" ht="12.95" customHeight="1">
      <c r="A2008" s="26" t="s">
        <v>9087</v>
      </c>
      <c r="B2008" s="26"/>
      <c r="C2008" s="26" t="s">
        <v>9088</v>
      </c>
      <c r="D2008" s="26"/>
      <c r="E2008" s="26"/>
    </row>
    <row r="2009" spans="1:5" s="16" customFormat="1" ht="12.95" customHeight="1">
      <c r="A2009" s="26" t="s">
        <v>9089</v>
      </c>
      <c r="B2009" s="26"/>
      <c r="C2009" s="26" t="s">
        <v>9090</v>
      </c>
      <c r="D2009" s="26"/>
      <c r="E2009" s="26"/>
    </row>
    <row r="2010" spans="1:5" s="16" customFormat="1" ht="12.95" customHeight="1">
      <c r="A2010" s="26" t="s">
        <v>9091</v>
      </c>
      <c r="B2010" s="26"/>
      <c r="C2010" s="26" t="s">
        <v>9092</v>
      </c>
      <c r="D2010" s="26"/>
      <c r="E2010" s="26"/>
    </row>
    <row r="2011" spans="1:5" s="16" customFormat="1" ht="12.95" customHeight="1">
      <c r="A2011" s="26" t="s">
        <v>9093</v>
      </c>
      <c r="B2011" s="26"/>
      <c r="C2011" s="26" t="s">
        <v>9094</v>
      </c>
      <c r="D2011" s="26"/>
      <c r="E2011" s="26"/>
    </row>
    <row r="2012" spans="1:5" s="16" customFormat="1" ht="12.95" customHeight="1">
      <c r="A2012" s="26" t="s">
        <v>9095</v>
      </c>
      <c r="B2012" s="26"/>
      <c r="C2012" s="26" t="s">
        <v>9096</v>
      </c>
      <c r="D2012" s="26"/>
      <c r="E2012" s="26"/>
    </row>
    <row r="2013" spans="1:5" s="16" customFormat="1" ht="12.95" customHeight="1">
      <c r="A2013" s="26" t="s">
        <v>9097</v>
      </c>
      <c r="B2013" s="26"/>
      <c r="C2013" s="26" t="s">
        <v>9098</v>
      </c>
      <c r="D2013" s="26"/>
      <c r="E2013" s="26"/>
    </row>
    <row r="2014" spans="1:5" s="16" customFormat="1" ht="12.95" customHeight="1">
      <c r="A2014" s="26" t="s">
        <v>9099</v>
      </c>
      <c r="B2014" s="26"/>
      <c r="C2014" s="26" t="s">
        <v>9100</v>
      </c>
      <c r="D2014" s="26"/>
      <c r="E2014" s="26"/>
    </row>
    <row r="2015" spans="1:5" s="16" customFormat="1" ht="12.95" customHeight="1">
      <c r="A2015" s="26" t="s">
        <v>9101</v>
      </c>
      <c r="B2015" s="26"/>
      <c r="C2015" s="26" t="s">
        <v>9102</v>
      </c>
      <c r="D2015" s="26"/>
      <c r="E2015" s="26"/>
    </row>
    <row r="2016" spans="1:5" s="16" customFormat="1" ht="12.95" customHeight="1">
      <c r="A2016" s="26" t="s">
        <v>9103</v>
      </c>
      <c r="B2016" s="26"/>
      <c r="C2016" s="26" t="s">
        <v>9104</v>
      </c>
      <c r="D2016" s="26"/>
      <c r="E2016" s="26"/>
    </row>
    <row r="2017" spans="1:5" s="16" customFormat="1" ht="12.95" customHeight="1">
      <c r="A2017" s="26" t="s">
        <v>9105</v>
      </c>
      <c r="B2017" s="26"/>
      <c r="C2017" s="26" t="s">
        <v>9106</v>
      </c>
      <c r="D2017" s="26"/>
      <c r="E2017" s="26"/>
    </row>
    <row r="2018" spans="1:5" s="16" customFormat="1" ht="12.95" customHeight="1">
      <c r="A2018" s="26" t="s">
        <v>9107</v>
      </c>
      <c r="B2018" s="26"/>
      <c r="C2018" s="26" t="s">
        <v>9108</v>
      </c>
      <c r="D2018" s="26"/>
      <c r="E2018" s="26"/>
    </row>
    <row r="2019" spans="1:5" s="16" customFormat="1" ht="12.95" customHeight="1">
      <c r="A2019" s="26" t="s">
        <v>9109</v>
      </c>
      <c r="B2019" s="26"/>
      <c r="C2019" s="26" t="s">
        <v>9110</v>
      </c>
      <c r="D2019" s="26"/>
      <c r="E2019" s="26"/>
    </row>
    <row r="2020" spans="1:5" s="16" customFormat="1" ht="12.95" customHeight="1">
      <c r="A2020" s="26" t="s">
        <v>9111</v>
      </c>
      <c r="B2020" s="26"/>
      <c r="C2020" s="26" t="s">
        <v>9112</v>
      </c>
      <c r="D2020" s="26"/>
      <c r="E2020" s="26"/>
    </row>
    <row r="2021" spans="1:5" s="16" customFormat="1" ht="12.95" customHeight="1">
      <c r="A2021" s="26" t="s">
        <v>9113</v>
      </c>
      <c r="B2021" s="26"/>
      <c r="C2021" s="26" t="s">
        <v>9114</v>
      </c>
      <c r="D2021" s="26"/>
      <c r="E2021" s="26"/>
    </row>
    <row r="2022" spans="1:5" s="16" customFormat="1" ht="12.95" customHeight="1">
      <c r="A2022" s="26" t="s">
        <v>9115</v>
      </c>
      <c r="B2022" s="26"/>
      <c r="C2022" s="26" t="s">
        <v>9100</v>
      </c>
      <c r="D2022" s="26"/>
      <c r="E2022" s="26"/>
    </row>
    <row r="2023" spans="1:5" s="16" customFormat="1" ht="12.95" customHeight="1">
      <c r="A2023" s="26" t="s">
        <v>9116</v>
      </c>
      <c r="B2023" s="26"/>
      <c r="C2023" s="26" t="s">
        <v>9117</v>
      </c>
      <c r="D2023" s="26"/>
      <c r="E2023" s="26"/>
    </row>
    <row r="2024" spans="1:5" s="16" customFormat="1" ht="12.95" customHeight="1">
      <c r="A2024" s="26" t="s">
        <v>9118</v>
      </c>
      <c r="B2024" s="26"/>
      <c r="C2024" s="26" t="s">
        <v>9119</v>
      </c>
      <c r="D2024" s="26"/>
      <c r="E2024" s="26"/>
    </row>
    <row r="2025" spans="1:5" s="16" customFormat="1" ht="12.95" customHeight="1">
      <c r="A2025" s="26" t="s">
        <v>9120</v>
      </c>
      <c r="B2025" s="26"/>
      <c r="C2025" s="26" t="s">
        <v>9121</v>
      </c>
      <c r="D2025" s="26"/>
      <c r="E2025" s="26"/>
    </row>
    <row r="2026" spans="1:5" s="16" customFormat="1" ht="12.95" customHeight="1">
      <c r="A2026" s="26" t="s">
        <v>9122</v>
      </c>
      <c r="B2026" s="26"/>
      <c r="C2026" s="26" t="s">
        <v>9114</v>
      </c>
      <c r="D2026" s="26"/>
      <c r="E2026" s="26"/>
    </row>
    <row r="2027" spans="1:5" s="16" customFormat="1" ht="12.95" customHeight="1">
      <c r="A2027" s="26" t="s">
        <v>9123</v>
      </c>
      <c r="B2027" s="26"/>
      <c r="C2027" s="26" t="s">
        <v>9100</v>
      </c>
      <c r="D2027" s="26"/>
      <c r="E2027" s="26"/>
    </row>
    <row r="2028" spans="1:5" s="16" customFormat="1" ht="12.95" customHeight="1">
      <c r="A2028" s="26" t="s">
        <v>9124</v>
      </c>
      <c r="B2028" s="26"/>
      <c r="C2028" s="26" t="s">
        <v>9117</v>
      </c>
      <c r="D2028" s="26"/>
      <c r="E2028" s="26"/>
    </row>
    <row r="2029" spans="1:5" s="16" customFormat="1" ht="12.95" customHeight="1">
      <c r="A2029" s="26" t="s">
        <v>9125</v>
      </c>
      <c r="B2029" s="26"/>
      <c r="C2029" s="26" t="s">
        <v>9119</v>
      </c>
      <c r="D2029" s="26"/>
      <c r="E2029" s="26"/>
    </row>
    <row r="2030" spans="1:5" s="16" customFormat="1" ht="12.95" customHeight="1">
      <c r="A2030" s="26" t="s">
        <v>9126</v>
      </c>
      <c r="B2030" s="26"/>
      <c r="C2030" s="26" t="s">
        <v>394</v>
      </c>
      <c r="D2030" s="26"/>
      <c r="E2030" s="26"/>
    </row>
    <row r="2031" spans="1:5" s="16" customFormat="1" ht="12.95" customHeight="1">
      <c r="A2031" s="26" t="s">
        <v>3661</v>
      </c>
      <c r="B2031" s="26"/>
      <c r="C2031" s="26" t="s">
        <v>9121</v>
      </c>
      <c r="D2031" s="26"/>
      <c r="E2031" s="26"/>
    </row>
    <row r="2032" spans="1:5" s="16" customFormat="1" ht="12.95" customHeight="1">
      <c r="A2032" s="26" t="s">
        <v>9127</v>
      </c>
      <c r="B2032" s="26"/>
      <c r="C2032" s="26" t="s">
        <v>9128</v>
      </c>
      <c r="D2032" s="26"/>
      <c r="E2032" s="26"/>
    </row>
    <row r="2033" spans="1:5" s="16" customFormat="1" ht="12.95" customHeight="1">
      <c r="A2033" s="26" t="s">
        <v>9129</v>
      </c>
      <c r="B2033" s="26"/>
      <c r="C2033" s="26" t="s">
        <v>9130</v>
      </c>
      <c r="D2033" s="26"/>
      <c r="E2033" s="26"/>
    </row>
    <row r="2034" spans="1:5" s="16" customFormat="1" ht="12.95" customHeight="1">
      <c r="A2034" s="26" t="s">
        <v>9131</v>
      </c>
      <c r="B2034" s="26"/>
      <c r="C2034" s="26" t="s">
        <v>9132</v>
      </c>
      <c r="D2034" s="26"/>
      <c r="E2034" s="26"/>
    </row>
    <row r="2035" spans="1:5" s="16" customFormat="1" ht="12.95" customHeight="1">
      <c r="A2035" s="26" t="s">
        <v>9133</v>
      </c>
      <c r="B2035" s="26"/>
      <c r="C2035" s="26" t="s">
        <v>9134</v>
      </c>
      <c r="D2035" s="26"/>
      <c r="E2035" s="26"/>
    </row>
    <row r="2036" spans="1:5" s="16" customFormat="1" ht="12.95" customHeight="1">
      <c r="A2036" s="26" t="s">
        <v>9135</v>
      </c>
      <c r="B2036" s="26"/>
      <c r="C2036" s="26" t="s">
        <v>9136</v>
      </c>
      <c r="D2036" s="26"/>
      <c r="E2036" s="26"/>
    </row>
    <row r="2037" spans="1:5" s="16" customFormat="1" ht="12.95" customHeight="1">
      <c r="A2037" s="26" t="s">
        <v>9137</v>
      </c>
      <c r="B2037" s="26"/>
      <c r="C2037" s="26" t="s">
        <v>9138</v>
      </c>
      <c r="D2037" s="26"/>
      <c r="E2037" s="26"/>
    </row>
    <row r="2038" spans="1:5" s="16" customFormat="1" ht="26.1" customHeight="1">
      <c r="A2038" s="26" t="s">
        <v>9139</v>
      </c>
      <c r="B2038" s="26"/>
      <c r="C2038" s="26" t="s">
        <v>9140</v>
      </c>
      <c r="D2038" s="26"/>
      <c r="E2038" s="26"/>
    </row>
    <row r="2039" spans="1:5" s="16" customFormat="1" ht="12.95" customHeight="1">
      <c r="A2039" s="26" t="s">
        <v>9141</v>
      </c>
      <c r="B2039" s="26"/>
      <c r="C2039" s="26" t="s">
        <v>9142</v>
      </c>
      <c r="D2039" s="26"/>
      <c r="E2039" s="26"/>
    </row>
    <row r="2040" spans="1:5" s="16" customFormat="1" ht="12.95" customHeight="1">
      <c r="A2040" s="26" t="s">
        <v>9143</v>
      </c>
      <c r="B2040" s="26"/>
      <c r="C2040" s="26" t="s">
        <v>9144</v>
      </c>
      <c r="D2040" s="26"/>
      <c r="E2040" s="26"/>
    </row>
    <row r="2041" spans="1:5" s="16" customFormat="1" ht="12.95" customHeight="1">
      <c r="A2041" s="26" t="s">
        <v>9145</v>
      </c>
      <c r="B2041" s="26"/>
      <c r="C2041" s="26" t="s">
        <v>9146</v>
      </c>
      <c r="D2041" s="26"/>
      <c r="E2041" s="26"/>
    </row>
    <row r="2042" spans="1:5" s="16" customFormat="1" ht="12.95" customHeight="1">
      <c r="A2042" s="26" t="s">
        <v>9147</v>
      </c>
      <c r="B2042" s="26"/>
      <c r="C2042" s="26" t="s">
        <v>9148</v>
      </c>
      <c r="D2042" s="26"/>
      <c r="E2042" s="26"/>
    </row>
    <row r="2043" spans="1:5" s="16" customFormat="1" ht="12.95" customHeight="1">
      <c r="A2043" s="26" t="s">
        <v>9149</v>
      </c>
      <c r="B2043" s="26"/>
      <c r="C2043" s="26" t="s">
        <v>9150</v>
      </c>
      <c r="D2043" s="26"/>
      <c r="E2043" s="26"/>
    </row>
    <row r="2044" spans="1:5" s="16" customFormat="1" ht="12.95" customHeight="1">
      <c r="A2044" s="26" t="s">
        <v>9151</v>
      </c>
      <c r="B2044" s="26"/>
      <c r="C2044" s="26" t="s">
        <v>9152</v>
      </c>
      <c r="D2044" s="26"/>
      <c r="E2044" s="26"/>
    </row>
    <row r="2045" spans="1:5" s="16" customFormat="1" ht="12.95" customHeight="1">
      <c r="A2045" s="26" t="s">
        <v>9153</v>
      </c>
      <c r="B2045" s="26"/>
      <c r="C2045" s="26" t="s">
        <v>9154</v>
      </c>
      <c r="D2045" s="26"/>
      <c r="E2045" s="26"/>
    </row>
    <row r="2046" spans="1:5" s="16" customFormat="1" ht="12.95" customHeight="1">
      <c r="A2046" s="26" t="s">
        <v>9155</v>
      </c>
      <c r="B2046" s="26"/>
      <c r="C2046" s="26" t="s">
        <v>9156</v>
      </c>
      <c r="D2046" s="26"/>
      <c r="E2046" s="26"/>
    </row>
    <row r="2047" spans="1:5" s="16" customFormat="1" ht="12.95" customHeight="1">
      <c r="A2047" s="26" t="s">
        <v>9157</v>
      </c>
      <c r="B2047" s="26"/>
      <c r="C2047" s="26" t="s">
        <v>9158</v>
      </c>
      <c r="D2047" s="26"/>
      <c r="E2047" s="26"/>
    </row>
    <row r="2048" spans="1:5" s="16" customFormat="1" ht="12.95" customHeight="1">
      <c r="A2048" s="26" t="s">
        <v>9159</v>
      </c>
      <c r="B2048" s="26"/>
      <c r="C2048" s="26" t="s">
        <v>9160</v>
      </c>
      <c r="D2048" s="26"/>
      <c r="E2048" s="26"/>
    </row>
    <row r="2049" spans="1:5" s="16" customFormat="1" ht="12.95" customHeight="1">
      <c r="A2049" s="26" t="s">
        <v>9161</v>
      </c>
      <c r="B2049" s="26"/>
      <c r="C2049" s="26" t="s">
        <v>9162</v>
      </c>
      <c r="D2049" s="26"/>
      <c r="E2049" s="26"/>
    </row>
    <row r="2050" spans="1:5" s="16" customFormat="1" ht="12.95" customHeight="1">
      <c r="A2050" s="26" t="s">
        <v>9163</v>
      </c>
      <c r="B2050" s="26"/>
      <c r="C2050" s="26" t="s">
        <v>9164</v>
      </c>
      <c r="D2050" s="26"/>
      <c r="E2050" s="26"/>
    </row>
    <row r="2051" spans="1:5" s="16" customFormat="1" ht="12.95" customHeight="1">
      <c r="A2051" s="26" t="s">
        <v>9165</v>
      </c>
      <c r="B2051" s="26"/>
      <c r="C2051" s="26" t="s">
        <v>9166</v>
      </c>
      <c r="D2051" s="26"/>
      <c r="E2051" s="26"/>
    </row>
    <row r="2052" spans="1:5" s="16" customFormat="1" ht="12.95" customHeight="1">
      <c r="A2052" s="26" t="s">
        <v>9167</v>
      </c>
      <c r="B2052" s="26"/>
      <c r="C2052" s="26" t="s">
        <v>9168</v>
      </c>
      <c r="D2052" s="26"/>
      <c r="E2052" s="26"/>
    </row>
    <row r="2053" spans="1:5" s="16" customFormat="1" ht="12.95" customHeight="1">
      <c r="A2053" s="26" t="s">
        <v>9169</v>
      </c>
      <c r="B2053" s="26"/>
      <c r="C2053" s="26" t="s">
        <v>9170</v>
      </c>
      <c r="D2053" s="26"/>
      <c r="E2053" s="26"/>
    </row>
    <row r="2054" spans="1:5" s="16" customFormat="1" ht="12.95" customHeight="1">
      <c r="A2054" s="26" t="s">
        <v>9171</v>
      </c>
      <c r="B2054" s="26"/>
      <c r="C2054" s="26" t="s">
        <v>9172</v>
      </c>
      <c r="D2054" s="26"/>
      <c r="E2054" s="26"/>
    </row>
    <row r="2055" spans="1:5" s="16" customFormat="1" ht="12.95" customHeight="1">
      <c r="A2055" s="26" t="s">
        <v>9173</v>
      </c>
      <c r="B2055" s="26"/>
      <c r="C2055" s="26" t="s">
        <v>9174</v>
      </c>
      <c r="D2055" s="26"/>
      <c r="E2055" s="26"/>
    </row>
    <row r="2056" spans="1:5" s="16" customFormat="1" ht="12.95" customHeight="1">
      <c r="A2056" s="26" t="s">
        <v>9175</v>
      </c>
      <c r="B2056" s="26"/>
      <c r="C2056" s="26" t="s">
        <v>9176</v>
      </c>
      <c r="D2056" s="26"/>
      <c r="E2056" s="26"/>
    </row>
    <row r="2057" spans="1:5" s="16" customFormat="1" ht="12.95" customHeight="1">
      <c r="A2057" s="26" t="s">
        <v>9177</v>
      </c>
      <c r="B2057" s="26"/>
      <c r="C2057" s="26" t="s">
        <v>9178</v>
      </c>
      <c r="D2057" s="26"/>
      <c r="E2057" s="26"/>
    </row>
    <row r="2058" spans="1:5" s="16" customFormat="1" ht="12.95" customHeight="1">
      <c r="A2058" s="26" t="s">
        <v>9179</v>
      </c>
      <c r="B2058" s="26"/>
      <c r="C2058" s="26" t="s">
        <v>9180</v>
      </c>
      <c r="D2058" s="26"/>
      <c r="E2058" s="26"/>
    </row>
    <row r="2059" spans="1:5" s="16" customFormat="1" ht="12.95" customHeight="1">
      <c r="A2059" s="26" t="s">
        <v>9181</v>
      </c>
      <c r="B2059" s="26"/>
      <c r="C2059" s="26" t="s">
        <v>9182</v>
      </c>
      <c r="D2059" s="26"/>
      <c r="E2059" s="26"/>
    </row>
    <row r="2060" spans="1:5" s="16" customFormat="1" ht="12.95" customHeight="1">
      <c r="A2060" s="26" t="s">
        <v>2184</v>
      </c>
      <c r="B2060" s="26"/>
      <c r="C2060" s="26" t="s">
        <v>9183</v>
      </c>
      <c r="D2060" s="26"/>
      <c r="E2060" s="26"/>
    </row>
    <row r="2061" spans="1:5" s="16" customFormat="1" ht="12.95" customHeight="1">
      <c r="A2061" s="26" t="s">
        <v>9184</v>
      </c>
      <c r="B2061" s="26"/>
      <c r="C2061" s="26" t="s">
        <v>9185</v>
      </c>
      <c r="D2061" s="26"/>
      <c r="E2061" s="26"/>
    </row>
    <row r="2062" spans="1:5" s="16" customFormat="1" ht="12.95" customHeight="1">
      <c r="A2062" s="26" t="s">
        <v>9186</v>
      </c>
      <c r="B2062" s="26"/>
      <c r="C2062" s="26" t="s">
        <v>9187</v>
      </c>
      <c r="D2062" s="26"/>
      <c r="E2062" s="26"/>
    </row>
    <row r="2063" spans="1:5" s="16" customFormat="1" ht="12.95" customHeight="1">
      <c r="A2063" s="26" t="s">
        <v>9188</v>
      </c>
      <c r="B2063" s="26"/>
      <c r="C2063" s="26" t="s">
        <v>9189</v>
      </c>
      <c r="D2063" s="26"/>
      <c r="E2063" s="26"/>
    </row>
    <row r="2064" spans="1:5" s="16" customFormat="1" ht="12.95" customHeight="1">
      <c r="A2064" s="26" t="s">
        <v>9190</v>
      </c>
      <c r="B2064" s="26"/>
      <c r="C2064" s="26" t="s">
        <v>9191</v>
      </c>
      <c r="D2064" s="26"/>
      <c r="E2064" s="26"/>
    </row>
    <row r="2065" spans="1:5" s="16" customFormat="1" ht="12.95" customHeight="1">
      <c r="A2065" s="26" t="s">
        <v>9192</v>
      </c>
      <c r="B2065" s="26"/>
      <c r="C2065" s="26" t="s">
        <v>9193</v>
      </c>
      <c r="D2065" s="26"/>
      <c r="E2065" s="26"/>
    </row>
    <row r="2066" spans="1:5" s="16" customFormat="1" ht="12.95" customHeight="1">
      <c r="A2066" s="26" t="s">
        <v>9194</v>
      </c>
      <c r="B2066" s="26"/>
      <c r="C2066" s="26" t="s">
        <v>9195</v>
      </c>
      <c r="D2066" s="26"/>
      <c r="E2066" s="26"/>
    </row>
    <row r="2067" spans="1:5" s="16" customFormat="1" ht="12.95" customHeight="1">
      <c r="A2067" s="26" t="s">
        <v>9196</v>
      </c>
      <c r="B2067" s="26"/>
      <c r="C2067" s="26" t="s">
        <v>9197</v>
      </c>
      <c r="D2067" s="26"/>
      <c r="E2067" s="26"/>
    </row>
    <row r="2068" spans="1:5" s="16" customFormat="1" ht="12.95" customHeight="1">
      <c r="A2068" s="26" t="s">
        <v>9198</v>
      </c>
      <c r="B2068" s="26"/>
      <c r="C2068" s="26" t="s">
        <v>9199</v>
      </c>
      <c r="D2068" s="26"/>
      <c r="E2068" s="26"/>
    </row>
    <row r="2069" spans="1:5" s="16" customFormat="1" ht="12.95" customHeight="1">
      <c r="A2069" s="26" t="s">
        <v>9200</v>
      </c>
      <c r="B2069" s="26"/>
      <c r="C2069" s="26" t="s">
        <v>9201</v>
      </c>
      <c r="D2069" s="26"/>
      <c r="E2069" s="26"/>
    </row>
    <row r="2070" spans="1:5" s="16" customFormat="1" ht="12.95" customHeight="1">
      <c r="A2070" s="26" t="s">
        <v>9202</v>
      </c>
      <c r="B2070" s="26"/>
      <c r="C2070" s="26" t="s">
        <v>9187</v>
      </c>
      <c r="D2070" s="26"/>
      <c r="E2070" s="26"/>
    </row>
    <row r="2071" spans="1:5" s="16" customFormat="1" ht="12.95" customHeight="1">
      <c r="A2071" s="26" t="s">
        <v>6426</v>
      </c>
      <c r="B2071" s="26"/>
      <c r="C2071" s="26" t="s">
        <v>9197</v>
      </c>
      <c r="D2071" s="26"/>
      <c r="E2071" s="26"/>
    </row>
    <row r="2072" spans="1:5" s="16" customFormat="1" ht="12.95" customHeight="1">
      <c r="A2072" s="26" t="s">
        <v>9203</v>
      </c>
      <c r="B2072" s="26"/>
      <c r="C2072" s="26" t="s">
        <v>9199</v>
      </c>
      <c r="D2072" s="26"/>
      <c r="E2072" s="26"/>
    </row>
    <row r="2073" spans="1:5" s="16" customFormat="1" ht="12.95" customHeight="1">
      <c r="A2073" s="26" t="s">
        <v>9204</v>
      </c>
      <c r="B2073" s="26"/>
      <c r="C2073" s="26" t="s">
        <v>9201</v>
      </c>
      <c r="D2073" s="26"/>
      <c r="E2073" s="26"/>
    </row>
    <row r="2074" spans="1:5" s="16" customFormat="1" ht="12.95" customHeight="1">
      <c r="A2074" s="26" t="s">
        <v>9205</v>
      </c>
      <c r="B2074" s="26"/>
      <c r="C2074" s="26" t="s">
        <v>9187</v>
      </c>
      <c r="D2074" s="26"/>
      <c r="E2074" s="26"/>
    </row>
    <row r="2075" spans="1:5" s="16" customFormat="1" ht="12.95" customHeight="1">
      <c r="A2075" s="26" t="s">
        <v>9206</v>
      </c>
      <c r="B2075" s="26"/>
      <c r="C2075" s="26" t="s">
        <v>9207</v>
      </c>
      <c r="D2075" s="26"/>
      <c r="E2075" s="26"/>
    </row>
    <row r="2076" spans="1:5" s="16" customFormat="1" ht="12.95" customHeight="1">
      <c r="A2076" s="26" t="s">
        <v>9208</v>
      </c>
      <c r="B2076" s="26"/>
      <c r="C2076" s="26" t="s">
        <v>9209</v>
      </c>
      <c r="D2076" s="26"/>
      <c r="E2076" s="26"/>
    </row>
    <row r="2077" spans="1:5" s="16" customFormat="1" ht="12.95" customHeight="1">
      <c r="A2077" s="26" t="s">
        <v>9210</v>
      </c>
      <c r="B2077" s="26"/>
      <c r="C2077" s="26" t="s">
        <v>9211</v>
      </c>
      <c r="D2077" s="26"/>
      <c r="E2077" s="26"/>
    </row>
    <row r="2078" spans="1:5" s="16" customFormat="1" ht="12.95" customHeight="1">
      <c r="A2078" s="26" t="s">
        <v>9212</v>
      </c>
      <c r="B2078" s="26"/>
      <c r="C2078" s="26" t="s">
        <v>9213</v>
      </c>
      <c r="D2078" s="26"/>
      <c r="E2078" s="26"/>
    </row>
    <row r="2079" spans="1:5" s="16" customFormat="1" ht="12.95" customHeight="1">
      <c r="A2079" s="26" t="s">
        <v>9214</v>
      </c>
      <c r="B2079" s="26"/>
      <c r="C2079" s="26" t="s">
        <v>9215</v>
      </c>
      <c r="D2079" s="26"/>
      <c r="E2079" s="26"/>
    </row>
    <row r="2080" spans="1:5" s="16" customFormat="1" ht="12.95" customHeight="1">
      <c r="A2080" s="26" t="s">
        <v>9216</v>
      </c>
      <c r="B2080" s="26"/>
      <c r="C2080" s="26" t="s">
        <v>9217</v>
      </c>
      <c r="D2080" s="26"/>
      <c r="E2080" s="26"/>
    </row>
    <row r="2081" spans="1:5" s="16" customFormat="1" ht="12.95" customHeight="1">
      <c r="A2081" s="26" t="s">
        <v>9218</v>
      </c>
      <c r="B2081" s="26"/>
      <c r="C2081" s="26" t="s">
        <v>9219</v>
      </c>
      <c r="D2081" s="26"/>
      <c r="E2081" s="26"/>
    </row>
    <row r="2082" spans="1:5" s="16" customFormat="1" ht="12.95" customHeight="1">
      <c r="A2082" s="26" t="s">
        <v>9220</v>
      </c>
      <c r="B2082" s="26"/>
      <c r="C2082" s="26" t="s">
        <v>9221</v>
      </c>
      <c r="D2082" s="26"/>
      <c r="E2082" s="26"/>
    </row>
    <row r="2083" spans="1:5" s="16" customFormat="1" ht="12.95" customHeight="1">
      <c r="A2083" s="26" t="s">
        <v>9222</v>
      </c>
      <c r="B2083" s="26"/>
      <c r="C2083" s="26" t="s">
        <v>9223</v>
      </c>
      <c r="D2083" s="26"/>
      <c r="E2083" s="26"/>
    </row>
    <row r="2084" spans="1:5" s="16" customFormat="1" ht="12.95" customHeight="1">
      <c r="A2084" s="26" t="s">
        <v>9224</v>
      </c>
      <c r="B2084" s="26"/>
      <c r="C2084" s="26" t="s">
        <v>9225</v>
      </c>
      <c r="D2084" s="26"/>
      <c r="E2084" s="26"/>
    </row>
    <row r="2085" spans="1:5" s="16" customFormat="1" ht="12.95" customHeight="1">
      <c r="A2085" s="26" t="s">
        <v>9226</v>
      </c>
      <c r="B2085" s="26"/>
      <c r="C2085" s="26" t="s">
        <v>9227</v>
      </c>
      <c r="D2085" s="26"/>
      <c r="E2085" s="26"/>
    </row>
    <row r="2086" spans="1:5" s="16" customFormat="1" ht="12.95" customHeight="1">
      <c r="A2086" s="26" t="s">
        <v>9228</v>
      </c>
      <c r="B2086" s="26"/>
      <c r="C2086" s="26" t="s">
        <v>9229</v>
      </c>
      <c r="D2086" s="26"/>
      <c r="E2086" s="26"/>
    </row>
    <row r="2087" spans="1:5" s="16" customFormat="1" ht="12.95" customHeight="1">
      <c r="A2087" s="26" t="s">
        <v>9230</v>
      </c>
      <c r="B2087" s="26"/>
      <c r="C2087" s="26" t="s">
        <v>9231</v>
      </c>
      <c r="D2087" s="26"/>
      <c r="E2087" s="26"/>
    </row>
    <row r="2088" spans="1:5" s="16" customFormat="1" ht="12.95" customHeight="1">
      <c r="A2088" s="26" t="s">
        <v>9232</v>
      </c>
      <c r="B2088" s="26"/>
      <c r="C2088" s="26" t="s">
        <v>9233</v>
      </c>
      <c r="D2088" s="26"/>
      <c r="E2088" s="26"/>
    </row>
    <row r="2089" spans="1:5" s="16" customFormat="1" ht="12.95" customHeight="1">
      <c r="A2089" s="26" t="s">
        <v>9234</v>
      </c>
      <c r="B2089" s="26"/>
      <c r="C2089" s="26" t="s">
        <v>9235</v>
      </c>
      <c r="D2089" s="26"/>
      <c r="E2089" s="26"/>
    </row>
    <row r="2090" spans="1:5" s="16" customFormat="1" ht="12.95" customHeight="1">
      <c r="A2090" s="26" t="s">
        <v>9236</v>
      </c>
      <c r="B2090" s="26"/>
      <c r="C2090" s="26" t="s">
        <v>9237</v>
      </c>
      <c r="D2090" s="26"/>
      <c r="E2090" s="26"/>
    </row>
  </sheetData>
  <mergeCells count="1563">
    <mergeCell ref="A2083:B2083"/>
    <mergeCell ref="C2083:E2083"/>
    <mergeCell ref="A2084:B2084"/>
    <mergeCell ref="C2084:E2084"/>
    <mergeCell ref="A2085:B2085"/>
    <mergeCell ref="C2085:E2085"/>
    <mergeCell ref="A2086:B2086"/>
    <mergeCell ref="C2086:E2086"/>
    <mergeCell ref="A2087:B2087"/>
    <mergeCell ref="C2087:E2087"/>
    <mergeCell ref="A2088:B2088"/>
    <mergeCell ref="C2088:E2088"/>
    <mergeCell ref="A2089:B2089"/>
    <mergeCell ref="C2089:E2089"/>
    <mergeCell ref="A2090:B2090"/>
    <mergeCell ref="C2090:E2090"/>
    <mergeCell ref="A2074:B2074"/>
    <mergeCell ref="C2074:E2074"/>
    <mergeCell ref="A2075:B2075"/>
    <mergeCell ref="C2075:E2075"/>
    <mergeCell ref="A2076:B2076"/>
    <mergeCell ref="C2076:E2076"/>
    <mergeCell ref="A2077:B2077"/>
    <mergeCell ref="C2077:E2077"/>
    <mergeCell ref="A2078:B2078"/>
    <mergeCell ref="C2078:E2078"/>
    <mergeCell ref="A2079:B2079"/>
    <mergeCell ref="C2079:E2079"/>
    <mergeCell ref="A2080:B2080"/>
    <mergeCell ref="C2080:E2080"/>
    <mergeCell ref="A2081:B2081"/>
    <mergeCell ref="C2081:E2081"/>
    <mergeCell ref="A2082:B2082"/>
    <mergeCell ref="C2082:E2082"/>
    <mergeCell ref="A2065:B2065"/>
    <mergeCell ref="C2065:E2065"/>
    <mergeCell ref="A2066:B2066"/>
    <mergeCell ref="C2066:E2066"/>
    <mergeCell ref="A2067:B2067"/>
    <mergeCell ref="C2067:E2067"/>
    <mergeCell ref="A2068:B2068"/>
    <mergeCell ref="C2068:E2068"/>
    <mergeCell ref="A2069:B2069"/>
    <mergeCell ref="C2069:E2069"/>
    <mergeCell ref="A2070:B2070"/>
    <mergeCell ref="C2070:E2070"/>
    <mergeCell ref="A2071:B2071"/>
    <mergeCell ref="C2071:E2071"/>
    <mergeCell ref="A2072:B2072"/>
    <mergeCell ref="C2072:E2072"/>
    <mergeCell ref="A2073:B2073"/>
    <mergeCell ref="C2073:E2073"/>
    <mergeCell ref="A2056:B2056"/>
    <mergeCell ref="C2056:E2056"/>
    <mergeCell ref="A2057:B2057"/>
    <mergeCell ref="C2057:E2057"/>
    <mergeCell ref="A2058:B2058"/>
    <mergeCell ref="C2058:E2058"/>
    <mergeCell ref="A2059:B2059"/>
    <mergeCell ref="C2059:E2059"/>
    <mergeCell ref="A2060:B2060"/>
    <mergeCell ref="C2060:E2060"/>
    <mergeCell ref="A2061:B2061"/>
    <mergeCell ref="C2061:E2061"/>
    <mergeCell ref="A2062:B2062"/>
    <mergeCell ref="C2062:E2062"/>
    <mergeCell ref="A2063:B2063"/>
    <mergeCell ref="C2063:E2063"/>
    <mergeCell ref="A2064:B2064"/>
    <mergeCell ref="C2064:E2064"/>
    <mergeCell ref="A2047:B2047"/>
    <mergeCell ref="C2047:E2047"/>
    <mergeCell ref="A2048:B2048"/>
    <mergeCell ref="C2048:E2048"/>
    <mergeCell ref="A2049:B2049"/>
    <mergeCell ref="C2049:E2049"/>
    <mergeCell ref="A2050:B2050"/>
    <mergeCell ref="C2050:E2050"/>
    <mergeCell ref="A2051:B2051"/>
    <mergeCell ref="C2051:E2051"/>
    <mergeCell ref="A2052:B2052"/>
    <mergeCell ref="C2052:E2052"/>
    <mergeCell ref="A2053:B2053"/>
    <mergeCell ref="C2053:E2053"/>
    <mergeCell ref="A2054:B2054"/>
    <mergeCell ref="C2054:E2054"/>
    <mergeCell ref="A2055:B2055"/>
    <mergeCell ref="C2055:E2055"/>
    <mergeCell ref="A2038:B2038"/>
    <mergeCell ref="C2038:E2038"/>
    <mergeCell ref="A2039:B2039"/>
    <mergeCell ref="C2039:E2039"/>
    <mergeCell ref="A2040:B2040"/>
    <mergeCell ref="C2040:E2040"/>
    <mergeCell ref="A2041:B2041"/>
    <mergeCell ref="C2041:E2041"/>
    <mergeCell ref="A2042:B2042"/>
    <mergeCell ref="C2042:E2042"/>
    <mergeCell ref="A2043:B2043"/>
    <mergeCell ref="C2043:E2043"/>
    <mergeCell ref="A2044:B2044"/>
    <mergeCell ref="C2044:E2044"/>
    <mergeCell ref="A2045:B2045"/>
    <mergeCell ref="C2045:E2045"/>
    <mergeCell ref="A2046:B2046"/>
    <mergeCell ref="C2046:E2046"/>
    <mergeCell ref="A2029:B2029"/>
    <mergeCell ref="C2029:E2029"/>
    <mergeCell ref="A2030:B2030"/>
    <mergeCell ref="C2030:E2030"/>
    <mergeCell ref="A2031:B2031"/>
    <mergeCell ref="C2031:E2031"/>
    <mergeCell ref="A2032:B2032"/>
    <mergeCell ref="C2032:E2032"/>
    <mergeCell ref="A2033:B2033"/>
    <mergeCell ref="C2033:E2033"/>
    <mergeCell ref="A2034:B2034"/>
    <mergeCell ref="C2034:E2034"/>
    <mergeCell ref="A2035:B2035"/>
    <mergeCell ref="C2035:E2035"/>
    <mergeCell ref="A2036:B2036"/>
    <mergeCell ref="C2036:E2036"/>
    <mergeCell ref="A2037:B2037"/>
    <mergeCell ref="C2037:E2037"/>
    <mergeCell ref="A2020:B2020"/>
    <mergeCell ref="C2020:E2020"/>
    <mergeCell ref="A2021:B2021"/>
    <mergeCell ref="C2021:E2021"/>
    <mergeCell ref="A2022:B2022"/>
    <mergeCell ref="C2022:E2022"/>
    <mergeCell ref="A2023:B2023"/>
    <mergeCell ref="C2023:E2023"/>
    <mergeCell ref="A2024:B2024"/>
    <mergeCell ref="C2024:E2024"/>
    <mergeCell ref="A2025:B2025"/>
    <mergeCell ref="C2025:E2025"/>
    <mergeCell ref="A2026:B2026"/>
    <mergeCell ref="C2026:E2026"/>
    <mergeCell ref="A2027:B2027"/>
    <mergeCell ref="C2027:E2027"/>
    <mergeCell ref="A2028:B2028"/>
    <mergeCell ref="C2028:E2028"/>
    <mergeCell ref="A2011:B2011"/>
    <mergeCell ref="C2011:E2011"/>
    <mergeCell ref="A2012:B2012"/>
    <mergeCell ref="C2012:E2012"/>
    <mergeCell ref="A2013:B2013"/>
    <mergeCell ref="C2013:E2013"/>
    <mergeCell ref="A2014:B2014"/>
    <mergeCell ref="C2014:E2014"/>
    <mergeCell ref="A2015:B2015"/>
    <mergeCell ref="C2015:E2015"/>
    <mergeCell ref="A2016:B2016"/>
    <mergeCell ref="C2016:E2016"/>
    <mergeCell ref="A2017:B2017"/>
    <mergeCell ref="C2017:E2017"/>
    <mergeCell ref="A2018:B2018"/>
    <mergeCell ref="C2018:E2018"/>
    <mergeCell ref="A2019:B2019"/>
    <mergeCell ref="C2019:E2019"/>
    <mergeCell ref="A2002:B2002"/>
    <mergeCell ref="C2002:E2002"/>
    <mergeCell ref="A2003:B2003"/>
    <mergeCell ref="C2003:E2003"/>
    <mergeCell ref="A2004:B2004"/>
    <mergeCell ref="C2004:E2004"/>
    <mergeCell ref="A2005:B2005"/>
    <mergeCell ref="C2005:E2005"/>
    <mergeCell ref="A2006:B2006"/>
    <mergeCell ref="C2006:E2006"/>
    <mergeCell ref="A2007:B2007"/>
    <mergeCell ref="C2007:E2007"/>
    <mergeCell ref="A2008:B2008"/>
    <mergeCell ref="C2008:E2008"/>
    <mergeCell ref="A2009:B2009"/>
    <mergeCell ref="C2009:E2009"/>
    <mergeCell ref="A2010:B2010"/>
    <mergeCell ref="C2010:E2010"/>
    <mergeCell ref="A1993:B1993"/>
    <mergeCell ref="C1993:E1993"/>
    <mergeCell ref="A1994:B1994"/>
    <mergeCell ref="C1994:E1994"/>
    <mergeCell ref="A1995:B1995"/>
    <mergeCell ref="C1995:E1995"/>
    <mergeCell ref="A1996:B1996"/>
    <mergeCell ref="C1996:E1996"/>
    <mergeCell ref="A1997:B1997"/>
    <mergeCell ref="C1997:E1997"/>
    <mergeCell ref="A1998:B1998"/>
    <mergeCell ref="C1998:E1998"/>
    <mergeCell ref="A1999:B1999"/>
    <mergeCell ref="C1999:E1999"/>
    <mergeCell ref="A2000:B2000"/>
    <mergeCell ref="C2000:E2000"/>
    <mergeCell ref="A2001:B2001"/>
    <mergeCell ref="C2001:E2001"/>
    <mergeCell ref="A1984:B1984"/>
    <mergeCell ref="C1984:E1984"/>
    <mergeCell ref="A1985:B1985"/>
    <mergeCell ref="C1985:E1985"/>
    <mergeCell ref="A1986:B1986"/>
    <mergeCell ref="C1986:E1986"/>
    <mergeCell ref="A1987:B1987"/>
    <mergeCell ref="C1987:E1987"/>
    <mergeCell ref="A1988:B1988"/>
    <mergeCell ref="C1988:E1988"/>
    <mergeCell ref="A1989:B1989"/>
    <mergeCell ref="C1989:E1989"/>
    <mergeCell ref="A1990:B1990"/>
    <mergeCell ref="C1990:E1990"/>
    <mergeCell ref="A1991:B1991"/>
    <mergeCell ref="C1991:E1991"/>
    <mergeCell ref="A1992:B1992"/>
    <mergeCell ref="C1992:E1992"/>
    <mergeCell ref="A1975:B1975"/>
    <mergeCell ref="C1975:E1975"/>
    <mergeCell ref="A1976:B1976"/>
    <mergeCell ref="C1976:E1976"/>
    <mergeCell ref="A1977:B1977"/>
    <mergeCell ref="C1977:E1977"/>
    <mergeCell ref="A1978:B1978"/>
    <mergeCell ref="C1978:E1978"/>
    <mergeCell ref="A1979:B1979"/>
    <mergeCell ref="C1979:E1979"/>
    <mergeCell ref="A1980:B1980"/>
    <mergeCell ref="C1980:E1980"/>
    <mergeCell ref="A1981:B1981"/>
    <mergeCell ref="C1981:E1981"/>
    <mergeCell ref="A1982:B1982"/>
    <mergeCell ref="C1982:E1982"/>
    <mergeCell ref="A1983:B1983"/>
    <mergeCell ref="C1983:E1983"/>
    <mergeCell ref="A1966:B1966"/>
    <mergeCell ref="C1966:E1966"/>
    <mergeCell ref="A1967:B1967"/>
    <mergeCell ref="C1967:E1967"/>
    <mergeCell ref="A1968:B1968"/>
    <mergeCell ref="C1968:E1968"/>
    <mergeCell ref="A1969:B1969"/>
    <mergeCell ref="C1969:E1969"/>
    <mergeCell ref="A1970:B1970"/>
    <mergeCell ref="C1970:E1970"/>
    <mergeCell ref="A1971:B1971"/>
    <mergeCell ref="C1971:E1971"/>
    <mergeCell ref="A1972:B1972"/>
    <mergeCell ref="C1972:E1972"/>
    <mergeCell ref="A1973:B1973"/>
    <mergeCell ref="C1973:E1973"/>
    <mergeCell ref="A1974:B1974"/>
    <mergeCell ref="C1974:E1974"/>
    <mergeCell ref="A1957:B1957"/>
    <mergeCell ref="C1957:E1957"/>
    <mergeCell ref="A1958:B1958"/>
    <mergeCell ref="C1958:E1958"/>
    <mergeCell ref="A1959:B1959"/>
    <mergeCell ref="C1959:E1959"/>
    <mergeCell ref="A1960:B1960"/>
    <mergeCell ref="C1960:E1960"/>
    <mergeCell ref="A1961:B1961"/>
    <mergeCell ref="C1961:E1961"/>
    <mergeCell ref="A1962:B1962"/>
    <mergeCell ref="C1962:E1962"/>
    <mergeCell ref="A1963:B1963"/>
    <mergeCell ref="C1963:E1963"/>
    <mergeCell ref="A1964:B1964"/>
    <mergeCell ref="C1964:E1964"/>
    <mergeCell ref="A1965:B1965"/>
    <mergeCell ref="C1965:E1965"/>
    <mergeCell ref="A1948:B1948"/>
    <mergeCell ref="C1948:E1948"/>
    <mergeCell ref="A1949:B1949"/>
    <mergeCell ref="C1949:E1949"/>
    <mergeCell ref="A1950:B1950"/>
    <mergeCell ref="C1950:E1950"/>
    <mergeCell ref="A1951:B1951"/>
    <mergeCell ref="C1951:E1951"/>
    <mergeCell ref="A1952:B1952"/>
    <mergeCell ref="C1952:E1952"/>
    <mergeCell ref="A1953:B1953"/>
    <mergeCell ref="C1953:E1953"/>
    <mergeCell ref="A1954:B1954"/>
    <mergeCell ref="C1954:E1954"/>
    <mergeCell ref="A1955:B1955"/>
    <mergeCell ref="C1955:E1955"/>
    <mergeCell ref="A1956:B1956"/>
    <mergeCell ref="C1956:E1956"/>
    <mergeCell ref="A1939:B1939"/>
    <mergeCell ref="C1939:E1939"/>
    <mergeCell ref="A1940:B1940"/>
    <mergeCell ref="C1940:E1940"/>
    <mergeCell ref="A1941:B1941"/>
    <mergeCell ref="C1941:E1941"/>
    <mergeCell ref="A1942:B1942"/>
    <mergeCell ref="C1942:E1942"/>
    <mergeCell ref="A1943:B1943"/>
    <mergeCell ref="C1943:E1943"/>
    <mergeCell ref="A1944:B1944"/>
    <mergeCell ref="C1944:E1944"/>
    <mergeCell ref="A1945:B1945"/>
    <mergeCell ref="C1945:E1945"/>
    <mergeCell ref="A1946:B1946"/>
    <mergeCell ref="C1946:E1946"/>
    <mergeCell ref="A1947:B1947"/>
    <mergeCell ref="C1947:E1947"/>
    <mergeCell ref="A1930:B1930"/>
    <mergeCell ref="C1930:E1930"/>
    <mergeCell ref="A1931:B1931"/>
    <mergeCell ref="C1931:E1931"/>
    <mergeCell ref="A1932:B1932"/>
    <mergeCell ref="C1932:E1932"/>
    <mergeCell ref="A1933:B1933"/>
    <mergeCell ref="C1933:E1933"/>
    <mergeCell ref="A1934:B1934"/>
    <mergeCell ref="C1934:E1934"/>
    <mergeCell ref="A1935:B1935"/>
    <mergeCell ref="C1935:E1935"/>
    <mergeCell ref="A1936:B1936"/>
    <mergeCell ref="C1936:E1936"/>
    <mergeCell ref="A1937:B1937"/>
    <mergeCell ref="C1937:E1937"/>
    <mergeCell ref="A1938:B1938"/>
    <mergeCell ref="C1938:E1938"/>
    <mergeCell ref="A1921:B1921"/>
    <mergeCell ref="C1921:E1921"/>
    <mergeCell ref="A1922:B1922"/>
    <mergeCell ref="C1922:E1922"/>
    <mergeCell ref="A1923:B1923"/>
    <mergeCell ref="C1923:E1923"/>
    <mergeCell ref="A1924:B1924"/>
    <mergeCell ref="C1924:E1924"/>
    <mergeCell ref="A1925:B1925"/>
    <mergeCell ref="C1925:E1925"/>
    <mergeCell ref="A1926:B1926"/>
    <mergeCell ref="C1926:E1926"/>
    <mergeCell ref="A1927:B1927"/>
    <mergeCell ref="C1927:E1927"/>
    <mergeCell ref="A1928:B1928"/>
    <mergeCell ref="C1928:E1928"/>
    <mergeCell ref="A1929:B1929"/>
    <mergeCell ref="C1929:E1929"/>
    <mergeCell ref="A1912:B1912"/>
    <mergeCell ref="C1912:E1912"/>
    <mergeCell ref="A1913:B1913"/>
    <mergeCell ref="C1913:E1913"/>
    <mergeCell ref="A1914:B1914"/>
    <mergeCell ref="C1914:E1914"/>
    <mergeCell ref="A1915:B1915"/>
    <mergeCell ref="C1915:E1915"/>
    <mergeCell ref="A1916:B1916"/>
    <mergeCell ref="C1916:E1916"/>
    <mergeCell ref="A1917:B1917"/>
    <mergeCell ref="C1917:E1917"/>
    <mergeCell ref="A1918:B1918"/>
    <mergeCell ref="C1918:E1918"/>
    <mergeCell ref="A1919:B1919"/>
    <mergeCell ref="C1919:E1919"/>
    <mergeCell ref="A1920:B1920"/>
    <mergeCell ref="C1920:E1920"/>
    <mergeCell ref="A1903:B1903"/>
    <mergeCell ref="C1903:E1903"/>
    <mergeCell ref="A1904:B1904"/>
    <mergeCell ref="C1904:E1904"/>
    <mergeCell ref="A1905:B1905"/>
    <mergeCell ref="C1905:E1905"/>
    <mergeCell ref="A1906:B1906"/>
    <mergeCell ref="C1906:E1906"/>
    <mergeCell ref="A1907:B1907"/>
    <mergeCell ref="C1907:E1907"/>
    <mergeCell ref="A1908:B1908"/>
    <mergeCell ref="C1908:E1908"/>
    <mergeCell ref="A1909:B1909"/>
    <mergeCell ref="C1909:E1909"/>
    <mergeCell ref="A1910:B1910"/>
    <mergeCell ref="C1910:E1910"/>
    <mergeCell ref="A1911:B1911"/>
    <mergeCell ref="C1911:E1911"/>
    <mergeCell ref="A1894:B1894"/>
    <mergeCell ref="C1894:E1894"/>
    <mergeCell ref="A1895:B1895"/>
    <mergeCell ref="C1895:E1895"/>
    <mergeCell ref="A1896:B1896"/>
    <mergeCell ref="C1896:E1896"/>
    <mergeCell ref="A1897:B1897"/>
    <mergeCell ref="C1897:E1897"/>
    <mergeCell ref="A1898:B1898"/>
    <mergeCell ref="C1898:E1898"/>
    <mergeCell ref="A1899:B1899"/>
    <mergeCell ref="C1899:E1899"/>
    <mergeCell ref="A1900:B1900"/>
    <mergeCell ref="C1900:E1900"/>
    <mergeCell ref="A1901:B1901"/>
    <mergeCell ref="C1901:E1901"/>
    <mergeCell ref="A1902:B1902"/>
    <mergeCell ref="C1902:E1902"/>
    <mergeCell ref="A1885:B1885"/>
    <mergeCell ref="C1885:E1885"/>
    <mergeCell ref="A1886:B1886"/>
    <mergeCell ref="C1886:E1886"/>
    <mergeCell ref="A1887:B1887"/>
    <mergeCell ref="C1887:E1887"/>
    <mergeCell ref="A1888:B1888"/>
    <mergeCell ref="C1888:E1888"/>
    <mergeCell ref="A1889:B1889"/>
    <mergeCell ref="C1889:E1889"/>
    <mergeCell ref="A1890:B1890"/>
    <mergeCell ref="C1890:E1890"/>
    <mergeCell ref="A1891:B1891"/>
    <mergeCell ref="C1891:E1891"/>
    <mergeCell ref="A1892:B1892"/>
    <mergeCell ref="C1892:E1892"/>
    <mergeCell ref="A1893:B1893"/>
    <mergeCell ref="C1893:E1893"/>
    <mergeCell ref="A1876:B1876"/>
    <mergeCell ref="C1876:E1876"/>
    <mergeCell ref="A1877:B1877"/>
    <mergeCell ref="C1877:E1877"/>
    <mergeCell ref="A1878:B1878"/>
    <mergeCell ref="C1878:E1878"/>
    <mergeCell ref="A1879:B1879"/>
    <mergeCell ref="C1879:E1879"/>
    <mergeCell ref="A1880:B1880"/>
    <mergeCell ref="C1880:E1880"/>
    <mergeCell ref="A1881:B1881"/>
    <mergeCell ref="C1881:E1881"/>
    <mergeCell ref="A1882:B1882"/>
    <mergeCell ref="C1882:E1882"/>
    <mergeCell ref="A1883:B1883"/>
    <mergeCell ref="C1883:E1883"/>
    <mergeCell ref="A1884:B1884"/>
    <mergeCell ref="C1884:E1884"/>
    <mergeCell ref="A1867:B1867"/>
    <mergeCell ref="C1867:E1867"/>
    <mergeCell ref="A1868:B1868"/>
    <mergeCell ref="C1868:E1868"/>
    <mergeCell ref="A1869:B1869"/>
    <mergeCell ref="C1869:E1869"/>
    <mergeCell ref="A1870:B1870"/>
    <mergeCell ref="C1870:E1870"/>
    <mergeCell ref="A1871:B1871"/>
    <mergeCell ref="C1871:E1871"/>
    <mergeCell ref="A1872:B1872"/>
    <mergeCell ref="C1872:E1872"/>
    <mergeCell ref="A1873:B1873"/>
    <mergeCell ref="C1873:E1873"/>
    <mergeCell ref="A1874:B1874"/>
    <mergeCell ref="C1874:E1874"/>
    <mergeCell ref="A1875:B1875"/>
    <mergeCell ref="C1875:E1875"/>
    <mergeCell ref="A1858:B1858"/>
    <mergeCell ref="C1858:E1858"/>
    <mergeCell ref="A1859:B1859"/>
    <mergeCell ref="C1859:E1859"/>
    <mergeCell ref="A1860:B1860"/>
    <mergeCell ref="C1860:E1860"/>
    <mergeCell ref="A1861:B1861"/>
    <mergeCell ref="C1861:E1861"/>
    <mergeCell ref="A1862:B1862"/>
    <mergeCell ref="C1862:E1862"/>
    <mergeCell ref="A1863:B1863"/>
    <mergeCell ref="C1863:E1863"/>
    <mergeCell ref="A1864:B1864"/>
    <mergeCell ref="C1864:E1864"/>
    <mergeCell ref="A1865:B1865"/>
    <mergeCell ref="C1865:E1865"/>
    <mergeCell ref="A1866:B1866"/>
    <mergeCell ref="C1866:E1866"/>
    <mergeCell ref="A1849:B1849"/>
    <mergeCell ref="C1849:E1849"/>
    <mergeCell ref="A1850:B1850"/>
    <mergeCell ref="C1850:E1850"/>
    <mergeCell ref="A1851:B1851"/>
    <mergeCell ref="C1851:E1851"/>
    <mergeCell ref="A1852:B1852"/>
    <mergeCell ref="C1852:E1852"/>
    <mergeCell ref="A1853:B1853"/>
    <mergeCell ref="C1853:E1853"/>
    <mergeCell ref="A1854:B1854"/>
    <mergeCell ref="C1854:E1854"/>
    <mergeCell ref="A1855:B1855"/>
    <mergeCell ref="C1855:E1855"/>
    <mergeCell ref="A1856:B1856"/>
    <mergeCell ref="C1856:E1856"/>
    <mergeCell ref="A1857:B1857"/>
    <mergeCell ref="C1857:E1857"/>
    <mergeCell ref="A1840:B1840"/>
    <mergeCell ref="C1840:E1840"/>
    <mergeCell ref="A1841:B1841"/>
    <mergeCell ref="C1841:E1841"/>
    <mergeCell ref="A1842:B1842"/>
    <mergeCell ref="C1842:E1842"/>
    <mergeCell ref="A1843:B1843"/>
    <mergeCell ref="C1843:E1843"/>
    <mergeCell ref="A1844:B1844"/>
    <mergeCell ref="C1844:E1844"/>
    <mergeCell ref="A1845:B1845"/>
    <mergeCell ref="C1845:E1845"/>
    <mergeCell ref="A1846:B1846"/>
    <mergeCell ref="C1846:E1846"/>
    <mergeCell ref="A1847:B1847"/>
    <mergeCell ref="C1847:E1847"/>
    <mergeCell ref="A1848:B1848"/>
    <mergeCell ref="C1848:E1848"/>
    <mergeCell ref="A1831:B1831"/>
    <mergeCell ref="C1831:E1831"/>
    <mergeCell ref="A1832:B1832"/>
    <mergeCell ref="C1832:E1832"/>
    <mergeCell ref="A1833:B1833"/>
    <mergeCell ref="C1833:E1833"/>
    <mergeCell ref="A1834:B1834"/>
    <mergeCell ref="C1834:E1834"/>
    <mergeCell ref="A1835:B1835"/>
    <mergeCell ref="C1835:E1835"/>
    <mergeCell ref="A1836:B1836"/>
    <mergeCell ref="C1836:E1836"/>
    <mergeCell ref="A1837:B1837"/>
    <mergeCell ref="C1837:E1837"/>
    <mergeCell ref="A1838:B1838"/>
    <mergeCell ref="C1838:E1838"/>
    <mergeCell ref="A1839:B1839"/>
    <mergeCell ref="C1839:E1839"/>
    <mergeCell ref="A1822:B1822"/>
    <mergeCell ref="C1822:E1822"/>
    <mergeCell ref="A1823:B1823"/>
    <mergeCell ref="C1823:E1823"/>
    <mergeCell ref="A1824:B1824"/>
    <mergeCell ref="C1824:E1824"/>
    <mergeCell ref="A1825:B1825"/>
    <mergeCell ref="C1825:E1825"/>
    <mergeCell ref="A1826:B1826"/>
    <mergeCell ref="C1826:E1826"/>
    <mergeCell ref="A1827:B1827"/>
    <mergeCell ref="C1827:E1827"/>
    <mergeCell ref="A1828:B1828"/>
    <mergeCell ref="C1828:E1828"/>
    <mergeCell ref="A1829:B1829"/>
    <mergeCell ref="C1829:E1829"/>
    <mergeCell ref="A1830:B1830"/>
    <mergeCell ref="C1830:E1830"/>
    <mergeCell ref="A1813:B1813"/>
    <mergeCell ref="C1813:E1813"/>
    <mergeCell ref="A1814:B1814"/>
    <mergeCell ref="C1814:E1814"/>
    <mergeCell ref="A1815:B1815"/>
    <mergeCell ref="C1815:E1815"/>
    <mergeCell ref="A1816:B1816"/>
    <mergeCell ref="C1816:E1816"/>
    <mergeCell ref="A1817:B1817"/>
    <mergeCell ref="C1817:E1817"/>
    <mergeCell ref="A1818:B1818"/>
    <mergeCell ref="C1818:E1818"/>
    <mergeCell ref="A1819:B1819"/>
    <mergeCell ref="C1819:E1819"/>
    <mergeCell ref="A1820:B1820"/>
    <mergeCell ref="C1820:E1820"/>
    <mergeCell ref="A1821:B1821"/>
    <mergeCell ref="C1821:E1821"/>
    <mergeCell ref="A1804:B1804"/>
    <mergeCell ref="C1804:E1804"/>
    <mergeCell ref="A1805:B1805"/>
    <mergeCell ref="C1805:E1805"/>
    <mergeCell ref="A1806:B1806"/>
    <mergeCell ref="C1806:E1806"/>
    <mergeCell ref="A1807:B1807"/>
    <mergeCell ref="C1807:E1807"/>
    <mergeCell ref="A1808:B1808"/>
    <mergeCell ref="C1808:E1808"/>
    <mergeCell ref="A1809:B1809"/>
    <mergeCell ref="C1809:E1809"/>
    <mergeCell ref="A1810:B1810"/>
    <mergeCell ref="C1810:E1810"/>
    <mergeCell ref="A1811:B1811"/>
    <mergeCell ref="C1811:E1811"/>
    <mergeCell ref="A1812:B1812"/>
    <mergeCell ref="C1812:E1812"/>
    <mergeCell ref="A1795:B1795"/>
    <mergeCell ref="C1795:E1795"/>
    <mergeCell ref="A1796:B1796"/>
    <mergeCell ref="C1796:E1796"/>
    <mergeCell ref="A1797:B1797"/>
    <mergeCell ref="C1797:E1797"/>
    <mergeCell ref="A1798:B1798"/>
    <mergeCell ref="C1798:E1798"/>
    <mergeCell ref="A1799:B1799"/>
    <mergeCell ref="C1799:E1799"/>
    <mergeCell ref="A1800:B1800"/>
    <mergeCell ref="C1800:E1800"/>
    <mergeCell ref="A1801:B1801"/>
    <mergeCell ref="C1801:E1801"/>
    <mergeCell ref="A1802:B1802"/>
    <mergeCell ref="C1802:E1802"/>
    <mergeCell ref="A1803:B1803"/>
    <mergeCell ref="C1803:E1803"/>
    <mergeCell ref="A1786:B1786"/>
    <mergeCell ref="C1786:E1786"/>
    <mergeCell ref="A1787:B1787"/>
    <mergeCell ref="C1787:E1787"/>
    <mergeCell ref="A1788:B1788"/>
    <mergeCell ref="C1788:E1788"/>
    <mergeCell ref="A1789:B1789"/>
    <mergeCell ref="C1789:E1789"/>
    <mergeCell ref="A1790:B1790"/>
    <mergeCell ref="C1790:E1790"/>
    <mergeCell ref="A1791:B1791"/>
    <mergeCell ref="C1791:E1791"/>
    <mergeCell ref="A1792:B1792"/>
    <mergeCell ref="C1792:E1792"/>
    <mergeCell ref="A1793:B1793"/>
    <mergeCell ref="C1793:E1793"/>
    <mergeCell ref="A1794:B1794"/>
    <mergeCell ref="C1794:E1794"/>
    <mergeCell ref="A1777:B1777"/>
    <mergeCell ref="C1777:E1777"/>
    <mergeCell ref="A1778:B1778"/>
    <mergeCell ref="C1778:E1778"/>
    <mergeCell ref="A1779:B1779"/>
    <mergeCell ref="C1779:E1779"/>
    <mergeCell ref="A1780:B1780"/>
    <mergeCell ref="C1780:E1780"/>
    <mergeCell ref="A1781:B1781"/>
    <mergeCell ref="C1781:E1781"/>
    <mergeCell ref="A1782:B1782"/>
    <mergeCell ref="C1782:E1782"/>
    <mergeCell ref="A1783:B1783"/>
    <mergeCell ref="C1783:E1783"/>
    <mergeCell ref="A1784:B1784"/>
    <mergeCell ref="C1784:E1784"/>
    <mergeCell ref="A1785:B1785"/>
    <mergeCell ref="C1785:E1785"/>
    <mergeCell ref="A1768:B1768"/>
    <mergeCell ref="C1768:E1768"/>
    <mergeCell ref="A1769:B1769"/>
    <mergeCell ref="C1769:E1769"/>
    <mergeCell ref="A1770:B1770"/>
    <mergeCell ref="C1770:E1770"/>
    <mergeCell ref="A1771:B1771"/>
    <mergeCell ref="C1771:E1771"/>
    <mergeCell ref="A1772:B1772"/>
    <mergeCell ref="C1772:E1772"/>
    <mergeCell ref="A1773:B1773"/>
    <mergeCell ref="C1773:E1773"/>
    <mergeCell ref="A1774:B1774"/>
    <mergeCell ref="C1774:E1774"/>
    <mergeCell ref="A1775:B1775"/>
    <mergeCell ref="C1775:E1775"/>
    <mergeCell ref="A1776:B1776"/>
    <mergeCell ref="C1776:E1776"/>
    <mergeCell ref="A1759:B1759"/>
    <mergeCell ref="C1759:E1759"/>
    <mergeCell ref="A1760:B1760"/>
    <mergeCell ref="C1760:E1760"/>
    <mergeCell ref="A1761:B1761"/>
    <mergeCell ref="C1761:E1761"/>
    <mergeCell ref="A1762:B1762"/>
    <mergeCell ref="C1762:E1762"/>
    <mergeCell ref="A1763:B1763"/>
    <mergeCell ref="C1763:E1763"/>
    <mergeCell ref="A1764:B1764"/>
    <mergeCell ref="C1764:E1764"/>
    <mergeCell ref="A1765:B1765"/>
    <mergeCell ref="C1765:E1765"/>
    <mergeCell ref="A1766:B1766"/>
    <mergeCell ref="C1766:E1766"/>
    <mergeCell ref="A1767:B1767"/>
    <mergeCell ref="C1767:E1767"/>
    <mergeCell ref="A1750:B1750"/>
    <mergeCell ref="C1750:E1750"/>
    <mergeCell ref="A1751:B1751"/>
    <mergeCell ref="C1751:E1751"/>
    <mergeCell ref="A1752:B1752"/>
    <mergeCell ref="C1752:E1752"/>
    <mergeCell ref="A1753:B1753"/>
    <mergeCell ref="C1753:E1753"/>
    <mergeCell ref="A1754:B1754"/>
    <mergeCell ref="C1754:E1754"/>
    <mergeCell ref="A1755:B1755"/>
    <mergeCell ref="C1755:E1755"/>
    <mergeCell ref="A1756:B1756"/>
    <mergeCell ref="C1756:E1756"/>
    <mergeCell ref="A1757:B1757"/>
    <mergeCell ref="C1757:E1757"/>
    <mergeCell ref="A1758:B1758"/>
    <mergeCell ref="C1758:E1758"/>
    <mergeCell ref="A1741:B1741"/>
    <mergeCell ref="C1741:E1741"/>
    <mergeCell ref="A1742:B1742"/>
    <mergeCell ref="C1742:E1742"/>
    <mergeCell ref="A1743:B1743"/>
    <mergeCell ref="C1743:E1743"/>
    <mergeCell ref="A1744:B1744"/>
    <mergeCell ref="C1744:E1744"/>
    <mergeCell ref="A1745:B1745"/>
    <mergeCell ref="C1745:E1745"/>
    <mergeCell ref="A1746:B1746"/>
    <mergeCell ref="C1746:E1746"/>
    <mergeCell ref="A1747:B1747"/>
    <mergeCell ref="C1747:E1747"/>
    <mergeCell ref="A1748:B1748"/>
    <mergeCell ref="C1748:E1748"/>
    <mergeCell ref="A1749:B1749"/>
    <mergeCell ref="C1749:E1749"/>
    <mergeCell ref="A1732:B1732"/>
    <mergeCell ref="C1732:E1732"/>
    <mergeCell ref="A1733:B1733"/>
    <mergeCell ref="C1733:E1733"/>
    <mergeCell ref="A1734:B1734"/>
    <mergeCell ref="C1734:E1734"/>
    <mergeCell ref="A1735:B1735"/>
    <mergeCell ref="C1735:E1735"/>
    <mergeCell ref="A1736:B1736"/>
    <mergeCell ref="C1736:E1736"/>
    <mergeCell ref="A1737:B1737"/>
    <mergeCell ref="C1737:E1737"/>
    <mergeCell ref="A1738:B1738"/>
    <mergeCell ref="C1738:E1738"/>
    <mergeCell ref="A1739:B1739"/>
    <mergeCell ref="C1739:E1739"/>
    <mergeCell ref="A1740:B1740"/>
    <mergeCell ref="C1740:E1740"/>
    <mergeCell ref="A1723:B1723"/>
    <mergeCell ref="C1723:E1723"/>
    <mergeCell ref="A1724:B1724"/>
    <mergeCell ref="C1724:E1724"/>
    <mergeCell ref="A1725:B1725"/>
    <mergeCell ref="C1725:E1725"/>
    <mergeCell ref="A1726:B1726"/>
    <mergeCell ref="C1726:E1726"/>
    <mergeCell ref="A1727:B1727"/>
    <mergeCell ref="C1727:E1727"/>
    <mergeCell ref="A1728:B1728"/>
    <mergeCell ref="C1728:E1728"/>
    <mergeCell ref="A1729:B1729"/>
    <mergeCell ref="C1729:E1729"/>
    <mergeCell ref="A1730:B1730"/>
    <mergeCell ref="C1730:E1730"/>
    <mergeCell ref="A1731:B1731"/>
    <mergeCell ref="C1731:E1731"/>
    <mergeCell ref="A1714:B1714"/>
    <mergeCell ref="C1714:E1714"/>
    <mergeCell ref="A1715:B1715"/>
    <mergeCell ref="C1715:E1715"/>
    <mergeCell ref="A1716:B1716"/>
    <mergeCell ref="C1716:E1716"/>
    <mergeCell ref="A1717:B1717"/>
    <mergeCell ref="C1717:E1717"/>
    <mergeCell ref="A1718:B1718"/>
    <mergeCell ref="C1718:E1718"/>
    <mergeCell ref="A1719:B1719"/>
    <mergeCell ref="C1719:E1719"/>
    <mergeCell ref="A1720:B1720"/>
    <mergeCell ref="C1720:E1720"/>
    <mergeCell ref="A1721:B1721"/>
    <mergeCell ref="C1721:E1721"/>
    <mergeCell ref="A1722:B1722"/>
    <mergeCell ref="C1722:E1722"/>
    <mergeCell ref="A1705:B1705"/>
    <mergeCell ref="C1705:E1705"/>
    <mergeCell ref="A1706:B1706"/>
    <mergeCell ref="C1706:E1706"/>
    <mergeCell ref="A1707:B1707"/>
    <mergeCell ref="C1707:E1707"/>
    <mergeCell ref="A1708:B1708"/>
    <mergeCell ref="C1708:E1708"/>
    <mergeCell ref="A1709:B1709"/>
    <mergeCell ref="C1709:E1709"/>
    <mergeCell ref="A1710:B1710"/>
    <mergeCell ref="C1710:E1710"/>
    <mergeCell ref="A1711:B1711"/>
    <mergeCell ref="C1711:E1711"/>
    <mergeCell ref="A1712:B1712"/>
    <mergeCell ref="C1712:E1712"/>
    <mergeCell ref="A1713:B1713"/>
    <mergeCell ref="C1713:E1713"/>
    <mergeCell ref="A1696:B1696"/>
    <mergeCell ref="C1696:E1696"/>
    <mergeCell ref="A1697:B1697"/>
    <mergeCell ref="C1697:E1697"/>
    <mergeCell ref="A1698:B1698"/>
    <mergeCell ref="C1698:E1698"/>
    <mergeCell ref="A1699:B1699"/>
    <mergeCell ref="C1699:E1699"/>
    <mergeCell ref="A1700:B1700"/>
    <mergeCell ref="C1700:E1700"/>
    <mergeCell ref="A1701:B1701"/>
    <mergeCell ref="C1701:E1701"/>
    <mergeCell ref="A1702:B1702"/>
    <mergeCell ref="C1702:E1702"/>
    <mergeCell ref="A1703:B1703"/>
    <mergeCell ref="C1703:E1703"/>
    <mergeCell ref="A1704:B1704"/>
    <mergeCell ref="C1704:E1704"/>
    <mergeCell ref="A1687:B1687"/>
    <mergeCell ref="C1687:E1687"/>
    <mergeCell ref="A1688:B1688"/>
    <mergeCell ref="C1688:E1688"/>
    <mergeCell ref="A1689:B1689"/>
    <mergeCell ref="C1689:E1689"/>
    <mergeCell ref="A1690:B1690"/>
    <mergeCell ref="C1690:E1690"/>
    <mergeCell ref="A1691:B1691"/>
    <mergeCell ref="C1691:E1691"/>
    <mergeCell ref="A1692:B1692"/>
    <mergeCell ref="C1692:E1692"/>
    <mergeCell ref="A1693:B1693"/>
    <mergeCell ref="C1693:E1693"/>
    <mergeCell ref="A1694:B1694"/>
    <mergeCell ref="C1694:E1694"/>
    <mergeCell ref="A1695:B1695"/>
    <mergeCell ref="C1695:E1695"/>
    <mergeCell ref="A1678:B1678"/>
    <mergeCell ref="C1678:E1678"/>
    <mergeCell ref="A1679:B1679"/>
    <mergeCell ref="C1679:E1679"/>
    <mergeCell ref="A1680:B1680"/>
    <mergeCell ref="C1680:E1680"/>
    <mergeCell ref="A1681:B1681"/>
    <mergeCell ref="C1681:E1681"/>
    <mergeCell ref="A1682:B1682"/>
    <mergeCell ref="C1682:E1682"/>
    <mergeCell ref="A1683:B1683"/>
    <mergeCell ref="C1683:E1683"/>
    <mergeCell ref="A1684:B1684"/>
    <mergeCell ref="C1684:E1684"/>
    <mergeCell ref="A1685:B1685"/>
    <mergeCell ref="C1685:E1685"/>
    <mergeCell ref="A1686:B1686"/>
    <mergeCell ref="C1686:E1686"/>
    <mergeCell ref="A1669:B1669"/>
    <mergeCell ref="C1669:E1669"/>
    <mergeCell ref="A1670:B1670"/>
    <mergeCell ref="C1670:E1670"/>
    <mergeCell ref="A1671:B1671"/>
    <mergeCell ref="C1671:E1671"/>
    <mergeCell ref="A1672:B1672"/>
    <mergeCell ref="C1672:E1672"/>
    <mergeCell ref="A1673:B1673"/>
    <mergeCell ref="C1673:E1673"/>
    <mergeCell ref="A1674:B1674"/>
    <mergeCell ref="C1674:E1674"/>
    <mergeCell ref="A1675:B1675"/>
    <mergeCell ref="C1675:E1675"/>
    <mergeCell ref="A1676:B1676"/>
    <mergeCell ref="C1676:E1676"/>
    <mergeCell ref="A1677:B1677"/>
    <mergeCell ref="C1677:E1677"/>
    <mergeCell ref="A1660:B1660"/>
    <mergeCell ref="C1660:E1660"/>
    <mergeCell ref="A1661:B1661"/>
    <mergeCell ref="C1661:E1661"/>
    <mergeCell ref="A1662:B1662"/>
    <mergeCell ref="C1662:E1662"/>
    <mergeCell ref="A1663:B1663"/>
    <mergeCell ref="C1663:E1663"/>
    <mergeCell ref="A1664:B1664"/>
    <mergeCell ref="C1664:E1664"/>
    <mergeCell ref="A1665:B1665"/>
    <mergeCell ref="C1665:E1665"/>
    <mergeCell ref="A1666:B1666"/>
    <mergeCell ref="C1666:E1666"/>
    <mergeCell ref="A1667:B1667"/>
    <mergeCell ref="C1667:E1667"/>
    <mergeCell ref="A1668:B1668"/>
    <mergeCell ref="C1668:E1668"/>
    <mergeCell ref="A1651:B1651"/>
    <mergeCell ref="C1651:E1651"/>
    <mergeCell ref="A1652:B1652"/>
    <mergeCell ref="C1652:E1652"/>
    <mergeCell ref="A1653:B1653"/>
    <mergeCell ref="C1653:E1653"/>
    <mergeCell ref="A1654:B1654"/>
    <mergeCell ref="C1654:E1654"/>
    <mergeCell ref="A1655:B1655"/>
    <mergeCell ref="C1655:E1655"/>
    <mergeCell ref="A1656:B1656"/>
    <mergeCell ref="C1656:E1656"/>
    <mergeCell ref="A1657:B1657"/>
    <mergeCell ref="C1657:E1657"/>
    <mergeCell ref="A1658:B1658"/>
    <mergeCell ref="C1658:E1658"/>
    <mergeCell ref="A1659:B1659"/>
    <mergeCell ref="C1659:E1659"/>
    <mergeCell ref="A1642:B1642"/>
    <mergeCell ref="C1642:E1642"/>
    <mergeCell ref="A1643:B1643"/>
    <mergeCell ref="C1643:E1643"/>
    <mergeCell ref="A1644:B1644"/>
    <mergeCell ref="C1644:E1644"/>
    <mergeCell ref="A1645:B1645"/>
    <mergeCell ref="C1645:E1645"/>
    <mergeCell ref="A1646:B1646"/>
    <mergeCell ref="C1646:E1646"/>
    <mergeCell ref="A1647:B1647"/>
    <mergeCell ref="C1647:E1647"/>
    <mergeCell ref="A1648:B1648"/>
    <mergeCell ref="C1648:E1648"/>
    <mergeCell ref="A1649:B1649"/>
    <mergeCell ref="C1649:E1649"/>
    <mergeCell ref="A1650:B1650"/>
    <mergeCell ref="C1650:E1650"/>
    <mergeCell ref="A1633:B1633"/>
    <mergeCell ref="C1633:E1633"/>
    <mergeCell ref="A1634:B1634"/>
    <mergeCell ref="C1634:E1634"/>
    <mergeCell ref="A1635:B1635"/>
    <mergeCell ref="C1635:E1635"/>
    <mergeCell ref="A1636:B1636"/>
    <mergeCell ref="C1636:E1636"/>
    <mergeCell ref="A1637:B1637"/>
    <mergeCell ref="C1637:E1637"/>
    <mergeCell ref="A1638:B1638"/>
    <mergeCell ref="C1638:E1638"/>
    <mergeCell ref="A1639:B1639"/>
    <mergeCell ref="C1639:E1639"/>
    <mergeCell ref="A1640:B1640"/>
    <mergeCell ref="C1640:E1640"/>
    <mergeCell ref="A1641:B1641"/>
    <mergeCell ref="C1641:E1641"/>
    <mergeCell ref="A1624:B1624"/>
    <mergeCell ref="C1624:E1624"/>
    <mergeCell ref="A1625:B1625"/>
    <mergeCell ref="C1625:E1625"/>
    <mergeCell ref="A1626:B1626"/>
    <mergeCell ref="C1626:E1626"/>
    <mergeCell ref="A1627:B1627"/>
    <mergeCell ref="C1627:E1627"/>
    <mergeCell ref="A1628:B1628"/>
    <mergeCell ref="C1628:E1628"/>
    <mergeCell ref="A1629:B1629"/>
    <mergeCell ref="C1629:E1629"/>
    <mergeCell ref="A1630:B1630"/>
    <mergeCell ref="C1630:E1630"/>
    <mergeCell ref="A1631:B1631"/>
    <mergeCell ref="C1631:E1631"/>
    <mergeCell ref="A1632:B1632"/>
    <mergeCell ref="C1632:E1632"/>
    <mergeCell ref="A1615:B1615"/>
    <mergeCell ref="C1615:E1615"/>
    <mergeCell ref="A1616:B1616"/>
    <mergeCell ref="C1616:E1616"/>
    <mergeCell ref="A1617:B1617"/>
    <mergeCell ref="C1617:E1617"/>
    <mergeCell ref="A1618:B1618"/>
    <mergeCell ref="C1618:E1618"/>
    <mergeCell ref="A1619:B1619"/>
    <mergeCell ref="C1619:E1619"/>
    <mergeCell ref="A1620:B1620"/>
    <mergeCell ref="C1620:E1620"/>
    <mergeCell ref="A1621:B1621"/>
    <mergeCell ref="C1621:E1621"/>
    <mergeCell ref="A1622:B1622"/>
    <mergeCell ref="C1622:E1622"/>
    <mergeCell ref="A1623:B1623"/>
    <mergeCell ref="C1623:E1623"/>
    <mergeCell ref="A1606:B1606"/>
    <mergeCell ref="C1606:E1606"/>
    <mergeCell ref="A1607:B1607"/>
    <mergeCell ref="C1607:E1607"/>
    <mergeCell ref="A1608:B1608"/>
    <mergeCell ref="C1608:E1608"/>
    <mergeCell ref="A1609:B1609"/>
    <mergeCell ref="C1609:E1609"/>
    <mergeCell ref="A1610:B1610"/>
    <mergeCell ref="C1610:E1610"/>
    <mergeCell ref="A1611:B1611"/>
    <mergeCell ref="C1611:E1611"/>
    <mergeCell ref="A1612:B1612"/>
    <mergeCell ref="C1612:E1612"/>
    <mergeCell ref="A1613:B1613"/>
    <mergeCell ref="C1613:E1613"/>
    <mergeCell ref="A1614:B1614"/>
    <mergeCell ref="C1614:E1614"/>
    <mergeCell ref="A1597:B1597"/>
    <mergeCell ref="C1597:E1597"/>
    <mergeCell ref="A1598:B1598"/>
    <mergeCell ref="C1598:E1598"/>
    <mergeCell ref="A1599:B1599"/>
    <mergeCell ref="C1599:E1599"/>
    <mergeCell ref="A1600:B1600"/>
    <mergeCell ref="C1600:E1600"/>
    <mergeCell ref="A1601:B1601"/>
    <mergeCell ref="C1601:E1601"/>
    <mergeCell ref="A1602:B1602"/>
    <mergeCell ref="C1602:E1602"/>
    <mergeCell ref="A1603:B1603"/>
    <mergeCell ref="C1603:E1603"/>
    <mergeCell ref="A1604:B1604"/>
    <mergeCell ref="C1604:E1604"/>
    <mergeCell ref="A1605:B1605"/>
    <mergeCell ref="C1605:E1605"/>
    <mergeCell ref="A1588:B1588"/>
    <mergeCell ref="C1588:E1588"/>
    <mergeCell ref="A1589:B1589"/>
    <mergeCell ref="C1589:E1589"/>
    <mergeCell ref="A1590:B1590"/>
    <mergeCell ref="C1590:E1590"/>
    <mergeCell ref="A1591:B1591"/>
    <mergeCell ref="C1591:E1591"/>
    <mergeCell ref="A1592:B1592"/>
    <mergeCell ref="C1592:E1592"/>
    <mergeCell ref="A1593:B1593"/>
    <mergeCell ref="C1593:E1593"/>
    <mergeCell ref="A1594:B1594"/>
    <mergeCell ref="C1594:E1594"/>
    <mergeCell ref="A1595:B1595"/>
    <mergeCell ref="C1595:E1595"/>
    <mergeCell ref="A1596:B1596"/>
    <mergeCell ref="C1596:E1596"/>
    <mergeCell ref="A1579:B1579"/>
    <mergeCell ref="C1579:E1579"/>
    <mergeCell ref="A1580:B1580"/>
    <mergeCell ref="C1580:E1580"/>
    <mergeCell ref="A1581:B1581"/>
    <mergeCell ref="C1581:E1581"/>
    <mergeCell ref="A1582:B1582"/>
    <mergeCell ref="C1582:E1582"/>
    <mergeCell ref="A1583:B1583"/>
    <mergeCell ref="C1583:E1583"/>
    <mergeCell ref="A1584:B1584"/>
    <mergeCell ref="C1584:E1584"/>
    <mergeCell ref="A1585:B1585"/>
    <mergeCell ref="C1585:E1585"/>
    <mergeCell ref="A1586:B1586"/>
    <mergeCell ref="C1586:E1586"/>
    <mergeCell ref="A1587:B1587"/>
    <mergeCell ref="C1587:E1587"/>
    <mergeCell ref="A1570:B1570"/>
    <mergeCell ref="C1570:E1570"/>
    <mergeCell ref="A1571:B1571"/>
    <mergeCell ref="C1571:E1571"/>
    <mergeCell ref="A1572:B1572"/>
    <mergeCell ref="C1572:E1572"/>
    <mergeCell ref="A1573:B1573"/>
    <mergeCell ref="C1573:E1573"/>
    <mergeCell ref="A1574:B1574"/>
    <mergeCell ref="C1574:E1574"/>
    <mergeCell ref="A1575:B1575"/>
    <mergeCell ref="C1575:E1575"/>
    <mergeCell ref="A1576:B1576"/>
    <mergeCell ref="C1576:E1576"/>
    <mergeCell ref="A1577:B1577"/>
    <mergeCell ref="C1577:E1577"/>
    <mergeCell ref="A1578:B1578"/>
    <mergeCell ref="C1578:E1578"/>
    <mergeCell ref="A1561:B1561"/>
    <mergeCell ref="C1561:E1561"/>
    <mergeCell ref="A1562:B1562"/>
    <mergeCell ref="C1562:E1562"/>
    <mergeCell ref="A1563:B1563"/>
    <mergeCell ref="C1563:E1563"/>
    <mergeCell ref="A1564:B1564"/>
    <mergeCell ref="C1564:E1564"/>
    <mergeCell ref="A1565:B1565"/>
    <mergeCell ref="C1565:E1565"/>
    <mergeCell ref="A1566:B1566"/>
    <mergeCell ref="C1566:E1566"/>
    <mergeCell ref="A1567:B1567"/>
    <mergeCell ref="C1567:E1567"/>
    <mergeCell ref="A1568:B1568"/>
    <mergeCell ref="C1568:E1568"/>
    <mergeCell ref="A1569:B1569"/>
    <mergeCell ref="C1569:E1569"/>
    <mergeCell ref="A1552:B1552"/>
    <mergeCell ref="C1552:E1552"/>
    <mergeCell ref="A1553:B1553"/>
    <mergeCell ref="C1553:E1553"/>
    <mergeCell ref="A1554:B1554"/>
    <mergeCell ref="C1554:E1554"/>
    <mergeCell ref="A1555:B1555"/>
    <mergeCell ref="C1555:E1555"/>
    <mergeCell ref="A1556:B1556"/>
    <mergeCell ref="C1556:E1556"/>
    <mergeCell ref="A1557:B1557"/>
    <mergeCell ref="C1557:E1557"/>
    <mergeCell ref="A1558:B1558"/>
    <mergeCell ref="C1558:E1558"/>
    <mergeCell ref="A1559:B1559"/>
    <mergeCell ref="C1559:E1559"/>
    <mergeCell ref="A1560:B1560"/>
    <mergeCell ref="C1560:E1560"/>
    <mergeCell ref="A1543:B1543"/>
    <mergeCell ref="C1543:E1543"/>
    <mergeCell ref="A1544:B1544"/>
    <mergeCell ref="C1544:E1544"/>
    <mergeCell ref="A1545:B1545"/>
    <mergeCell ref="C1545:E1545"/>
    <mergeCell ref="A1546:B1546"/>
    <mergeCell ref="C1546:E1546"/>
    <mergeCell ref="A1547:B1547"/>
    <mergeCell ref="C1547:E1547"/>
    <mergeCell ref="A1548:B1548"/>
    <mergeCell ref="C1548:E1548"/>
    <mergeCell ref="A1549:B1549"/>
    <mergeCell ref="C1549:E1549"/>
    <mergeCell ref="A1550:B1550"/>
    <mergeCell ref="C1550:E1550"/>
    <mergeCell ref="A1551:B1551"/>
    <mergeCell ref="C1551:E1551"/>
    <mergeCell ref="A1534:B1534"/>
    <mergeCell ref="C1534:E1534"/>
    <mergeCell ref="A1535:B1535"/>
    <mergeCell ref="C1535:E1535"/>
    <mergeCell ref="A1536:B1536"/>
    <mergeCell ref="C1536:E1536"/>
    <mergeCell ref="A1537:B1537"/>
    <mergeCell ref="C1537:E1537"/>
    <mergeCell ref="A1538:B1538"/>
    <mergeCell ref="C1538:E1538"/>
    <mergeCell ref="A1539:B1539"/>
    <mergeCell ref="C1539:E1539"/>
    <mergeCell ref="A1540:B1540"/>
    <mergeCell ref="C1540:E1540"/>
    <mergeCell ref="A1541:B1541"/>
    <mergeCell ref="C1541:E1541"/>
    <mergeCell ref="A1542:B1542"/>
    <mergeCell ref="C1542:E1542"/>
    <mergeCell ref="A1525:B1525"/>
    <mergeCell ref="C1525:E1525"/>
    <mergeCell ref="A1526:B1526"/>
    <mergeCell ref="C1526:E1526"/>
    <mergeCell ref="A1527:B1527"/>
    <mergeCell ref="C1527:E1527"/>
    <mergeCell ref="A1528:B1528"/>
    <mergeCell ref="C1528:E1528"/>
    <mergeCell ref="A1529:B1529"/>
    <mergeCell ref="C1529:E1529"/>
    <mergeCell ref="A1530:B1530"/>
    <mergeCell ref="C1530:E1530"/>
    <mergeCell ref="A1531:B1531"/>
    <mergeCell ref="C1531:E1531"/>
    <mergeCell ref="A1532:B1532"/>
    <mergeCell ref="C1532:E1532"/>
    <mergeCell ref="A1533:B1533"/>
    <mergeCell ref="C1533:E1533"/>
    <mergeCell ref="A1516:B1516"/>
    <mergeCell ref="C1516:E1516"/>
    <mergeCell ref="A1517:B1517"/>
    <mergeCell ref="C1517:E1517"/>
    <mergeCell ref="A1518:B1518"/>
    <mergeCell ref="C1518:E1518"/>
    <mergeCell ref="A1519:B1519"/>
    <mergeCell ref="C1519:E1519"/>
    <mergeCell ref="A1520:B1520"/>
    <mergeCell ref="C1520:E1520"/>
    <mergeCell ref="A1521:B1521"/>
    <mergeCell ref="C1521:E1521"/>
    <mergeCell ref="A1522:B1522"/>
    <mergeCell ref="C1522:E1522"/>
    <mergeCell ref="A1523:B1523"/>
    <mergeCell ref="C1523:E1523"/>
    <mergeCell ref="A1524:B1524"/>
    <mergeCell ref="C1524:E1524"/>
    <mergeCell ref="A1507:B1507"/>
    <mergeCell ref="C1507:E1507"/>
    <mergeCell ref="A1508:B1508"/>
    <mergeCell ref="C1508:E1508"/>
    <mergeCell ref="A1509:B1509"/>
    <mergeCell ref="C1509:E1509"/>
    <mergeCell ref="A1510:B1510"/>
    <mergeCell ref="C1510:E1510"/>
    <mergeCell ref="A1511:B1511"/>
    <mergeCell ref="C1511:E1511"/>
    <mergeCell ref="A1512:B1512"/>
    <mergeCell ref="C1512:E1512"/>
    <mergeCell ref="A1513:B1513"/>
    <mergeCell ref="C1513:E1513"/>
    <mergeCell ref="A1514:B1514"/>
    <mergeCell ref="C1514:E1514"/>
    <mergeCell ref="A1515:B1515"/>
    <mergeCell ref="C1515:E1515"/>
    <mergeCell ref="A1498:B1498"/>
    <mergeCell ref="C1498:E1498"/>
    <mergeCell ref="A1499:B1499"/>
    <mergeCell ref="C1499:E1499"/>
    <mergeCell ref="A1500:B1500"/>
    <mergeCell ref="C1500:E1500"/>
    <mergeCell ref="A1501:B1501"/>
    <mergeCell ref="C1501:E1501"/>
    <mergeCell ref="A1502:B1502"/>
    <mergeCell ref="C1502:E1502"/>
    <mergeCell ref="A1503:B1503"/>
    <mergeCell ref="C1503:E1503"/>
    <mergeCell ref="A1504:B1504"/>
    <mergeCell ref="C1504:E1504"/>
    <mergeCell ref="A1505:B1505"/>
    <mergeCell ref="C1505:E1505"/>
    <mergeCell ref="A1506:B1506"/>
    <mergeCell ref="C1506:E1506"/>
    <mergeCell ref="A1489:B1489"/>
    <mergeCell ref="C1489:E1489"/>
    <mergeCell ref="A1490:B1490"/>
    <mergeCell ref="C1490:E1490"/>
    <mergeCell ref="A1491:B1491"/>
    <mergeCell ref="C1491:E1491"/>
    <mergeCell ref="A1492:B1492"/>
    <mergeCell ref="C1492:E1492"/>
    <mergeCell ref="A1493:B1493"/>
    <mergeCell ref="C1493:E1493"/>
    <mergeCell ref="A1494:B1494"/>
    <mergeCell ref="C1494:E1494"/>
    <mergeCell ref="A1495:B1495"/>
    <mergeCell ref="C1495:E1495"/>
    <mergeCell ref="A1496:B1496"/>
    <mergeCell ref="C1496:E1496"/>
    <mergeCell ref="A1497:B1497"/>
    <mergeCell ref="C1497:E1497"/>
    <mergeCell ref="A1480:B1480"/>
    <mergeCell ref="C1480:E1480"/>
    <mergeCell ref="A1481:B1481"/>
    <mergeCell ref="C1481:E1481"/>
    <mergeCell ref="A1482:B1482"/>
    <mergeCell ref="C1482:E1482"/>
    <mergeCell ref="A1483:B1483"/>
    <mergeCell ref="C1483:E1483"/>
    <mergeCell ref="A1484:B1484"/>
    <mergeCell ref="C1484:E1484"/>
    <mergeCell ref="A1485:B1485"/>
    <mergeCell ref="C1485:E1485"/>
    <mergeCell ref="A1486:B1486"/>
    <mergeCell ref="C1486:E1486"/>
    <mergeCell ref="A1487:B1487"/>
    <mergeCell ref="C1487:E1487"/>
    <mergeCell ref="A1488:B1488"/>
    <mergeCell ref="C1488:E1488"/>
    <mergeCell ref="A1471:B1471"/>
    <mergeCell ref="C1471:E1471"/>
    <mergeCell ref="A1472:B1472"/>
    <mergeCell ref="C1472:E1472"/>
    <mergeCell ref="A1473:B1473"/>
    <mergeCell ref="C1473:E1473"/>
    <mergeCell ref="A1474:B1474"/>
    <mergeCell ref="C1474:E1474"/>
    <mergeCell ref="A1475:B1475"/>
    <mergeCell ref="C1475:E1475"/>
    <mergeCell ref="A1476:B1476"/>
    <mergeCell ref="C1476:E1476"/>
    <mergeCell ref="A1477:B1477"/>
    <mergeCell ref="C1477:E1477"/>
    <mergeCell ref="A1478:B1478"/>
    <mergeCell ref="C1478:E1478"/>
    <mergeCell ref="A1479:B1479"/>
    <mergeCell ref="C1479:E1479"/>
    <mergeCell ref="A1462:B1462"/>
    <mergeCell ref="C1462:E1462"/>
    <mergeCell ref="A1463:B1463"/>
    <mergeCell ref="C1463:E1463"/>
    <mergeCell ref="A1464:B1464"/>
    <mergeCell ref="C1464:E1464"/>
    <mergeCell ref="A1465:B1465"/>
    <mergeCell ref="C1465:E1465"/>
    <mergeCell ref="A1466:B1466"/>
    <mergeCell ref="C1466:E1466"/>
    <mergeCell ref="A1467:B1467"/>
    <mergeCell ref="C1467:E1467"/>
    <mergeCell ref="A1468:B1468"/>
    <mergeCell ref="C1468:E1468"/>
    <mergeCell ref="A1469:B1469"/>
    <mergeCell ref="C1469:E1469"/>
    <mergeCell ref="A1470:B1470"/>
    <mergeCell ref="C1470:E1470"/>
    <mergeCell ref="A1453:B1453"/>
    <mergeCell ref="C1453:E1453"/>
    <mergeCell ref="A1454:B1454"/>
    <mergeCell ref="C1454:E1454"/>
    <mergeCell ref="A1455:B1455"/>
    <mergeCell ref="C1455:E1455"/>
    <mergeCell ref="A1456:B1456"/>
    <mergeCell ref="C1456:E1456"/>
    <mergeCell ref="A1457:B1457"/>
    <mergeCell ref="C1457:E1457"/>
    <mergeCell ref="A1458:B1458"/>
    <mergeCell ref="C1458:E1458"/>
    <mergeCell ref="A1459:B1459"/>
    <mergeCell ref="C1459:E1459"/>
    <mergeCell ref="A1460:B1460"/>
    <mergeCell ref="C1460:E1460"/>
    <mergeCell ref="A1461:B1461"/>
    <mergeCell ref="C1461:E1461"/>
    <mergeCell ref="A1444:B1444"/>
    <mergeCell ref="C1444:E1444"/>
    <mergeCell ref="A1445:B1445"/>
    <mergeCell ref="C1445:E1445"/>
    <mergeCell ref="A1446:B1446"/>
    <mergeCell ref="C1446:E1446"/>
    <mergeCell ref="A1447:B1447"/>
    <mergeCell ref="C1447:E1447"/>
    <mergeCell ref="A1448:B1448"/>
    <mergeCell ref="C1448:E1448"/>
    <mergeCell ref="A1449:B1449"/>
    <mergeCell ref="C1449:E1449"/>
    <mergeCell ref="A1450:B1450"/>
    <mergeCell ref="C1450:E1450"/>
    <mergeCell ref="A1451:B1451"/>
    <mergeCell ref="C1451:E1451"/>
    <mergeCell ref="A1452:B1452"/>
    <mergeCell ref="C1452:E1452"/>
    <mergeCell ref="A1435:B1435"/>
    <mergeCell ref="C1435:E1435"/>
    <mergeCell ref="A1436:B1436"/>
    <mergeCell ref="C1436:E1436"/>
    <mergeCell ref="A1437:B1437"/>
    <mergeCell ref="C1437:E1437"/>
    <mergeCell ref="A1438:B1438"/>
    <mergeCell ref="C1438:E1438"/>
    <mergeCell ref="A1439:B1439"/>
    <mergeCell ref="C1439:E1439"/>
    <mergeCell ref="A1440:B1440"/>
    <mergeCell ref="C1440:E1440"/>
    <mergeCell ref="A1441:B1441"/>
    <mergeCell ref="C1441:E1441"/>
    <mergeCell ref="A1442:B1442"/>
    <mergeCell ref="C1442:E1442"/>
    <mergeCell ref="A1443:B1443"/>
    <mergeCell ref="C1443:E1443"/>
    <mergeCell ref="A1426:B1426"/>
    <mergeCell ref="C1426:E1426"/>
    <mergeCell ref="A1427:B1427"/>
    <mergeCell ref="C1427:E1427"/>
    <mergeCell ref="A1428:B1428"/>
    <mergeCell ref="C1428:E1428"/>
    <mergeCell ref="A1429:B1429"/>
    <mergeCell ref="C1429:E1429"/>
    <mergeCell ref="A1430:B1430"/>
    <mergeCell ref="C1430:E1430"/>
    <mergeCell ref="A1431:B1431"/>
    <mergeCell ref="C1431:E1431"/>
    <mergeCell ref="A1432:B1432"/>
    <mergeCell ref="C1432:E1432"/>
    <mergeCell ref="A1433:B1433"/>
    <mergeCell ref="C1433:E1433"/>
    <mergeCell ref="A1434:B1434"/>
    <mergeCell ref="C1434:E1434"/>
    <mergeCell ref="A1417:B1417"/>
    <mergeCell ref="C1417:E1417"/>
    <mergeCell ref="A1418:B1418"/>
    <mergeCell ref="C1418:E1418"/>
    <mergeCell ref="A1419:B1419"/>
    <mergeCell ref="C1419:E1419"/>
    <mergeCell ref="A1420:B1420"/>
    <mergeCell ref="C1420:E1420"/>
    <mergeCell ref="A1421:B1421"/>
    <mergeCell ref="C1421:E1421"/>
    <mergeCell ref="A1422:B1422"/>
    <mergeCell ref="C1422:E1422"/>
    <mergeCell ref="A1423:B1423"/>
    <mergeCell ref="C1423:E1423"/>
    <mergeCell ref="A1424:B1424"/>
    <mergeCell ref="C1424:E1424"/>
    <mergeCell ref="A1425:B1425"/>
    <mergeCell ref="C1425:E1425"/>
    <mergeCell ref="A1408:B1408"/>
    <mergeCell ref="C1408:E1408"/>
    <mergeCell ref="A1409:B1409"/>
    <mergeCell ref="C1409:E1409"/>
    <mergeCell ref="A1410:B1410"/>
    <mergeCell ref="C1410:E1410"/>
    <mergeCell ref="A1411:B1411"/>
    <mergeCell ref="C1411:E1411"/>
    <mergeCell ref="A1412:B1412"/>
    <mergeCell ref="C1412:E1412"/>
    <mergeCell ref="A1413:B1413"/>
    <mergeCell ref="C1413:E1413"/>
    <mergeCell ref="A1414:B1414"/>
    <mergeCell ref="C1414:E1414"/>
    <mergeCell ref="A1415:B1415"/>
    <mergeCell ref="C1415:E1415"/>
    <mergeCell ref="A1416:B1416"/>
    <mergeCell ref="C1416:E1416"/>
    <mergeCell ref="A1399:B1399"/>
    <mergeCell ref="C1399:E1399"/>
    <mergeCell ref="A1400:B1400"/>
    <mergeCell ref="C1400:E1400"/>
    <mergeCell ref="A1401:B1401"/>
    <mergeCell ref="C1401:E1401"/>
    <mergeCell ref="A1402:B1402"/>
    <mergeCell ref="C1402:E1402"/>
    <mergeCell ref="A1403:B1403"/>
    <mergeCell ref="C1403:E1403"/>
    <mergeCell ref="A1404:B1404"/>
    <mergeCell ref="C1404:E1404"/>
    <mergeCell ref="A1405:B1405"/>
    <mergeCell ref="C1405:E1405"/>
    <mergeCell ref="A1406:B1406"/>
    <mergeCell ref="C1406:E1406"/>
    <mergeCell ref="A1407:B1407"/>
    <mergeCell ref="C1407:E1407"/>
    <mergeCell ref="A1390:B1390"/>
    <mergeCell ref="C1390:E1390"/>
    <mergeCell ref="A1391:B1391"/>
    <mergeCell ref="C1391:E1391"/>
    <mergeCell ref="A1392:B1392"/>
    <mergeCell ref="C1392:E1392"/>
    <mergeCell ref="A1393:B1393"/>
    <mergeCell ref="C1393:E1393"/>
    <mergeCell ref="A1394:B1394"/>
    <mergeCell ref="C1394:E1394"/>
    <mergeCell ref="A1395:B1395"/>
    <mergeCell ref="C1395:E1395"/>
    <mergeCell ref="A1396:B1396"/>
    <mergeCell ref="C1396:E1396"/>
    <mergeCell ref="A1397:B1397"/>
    <mergeCell ref="C1397:E1397"/>
    <mergeCell ref="A1398:B1398"/>
    <mergeCell ref="C1398:E1398"/>
    <mergeCell ref="A1381:B1381"/>
    <mergeCell ref="C1381:E1381"/>
    <mergeCell ref="A1382:B1382"/>
    <mergeCell ref="C1382:E1382"/>
    <mergeCell ref="A1383:B1383"/>
    <mergeCell ref="C1383:E1383"/>
    <mergeCell ref="A1384:B1384"/>
    <mergeCell ref="C1384:E1384"/>
    <mergeCell ref="A1385:B1385"/>
    <mergeCell ref="C1385:E1385"/>
    <mergeCell ref="A1386:B1386"/>
    <mergeCell ref="C1386:E1386"/>
    <mergeCell ref="A1387:B1387"/>
    <mergeCell ref="C1387:E1387"/>
    <mergeCell ref="A1388:B1388"/>
    <mergeCell ref="C1388:E1388"/>
    <mergeCell ref="A1389:B1389"/>
    <mergeCell ref="C1389:E1389"/>
    <mergeCell ref="A1372:B1372"/>
    <mergeCell ref="C1372:E1372"/>
    <mergeCell ref="A1373:B1373"/>
    <mergeCell ref="C1373:E1373"/>
    <mergeCell ref="A1374:B1374"/>
    <mergeCell ref="C1374:E1374"/>
    <mergeCell ref="A1375:B1375"/>
    <mergeCell ref="C1375:E1375"/>
    <mergeCell ref="A1376:B1376"/>
    <mergeCell ref="C1376:E1376"/>
    <mergeCell ref="A1377:B1377"/>
    <mergeCell ref="C1377:E1377"/>
    <mergeCell ref="A1378:B1378"/>
    <mergeCell ref="C1378:E1378"/>
    <mergeCell ref="A1379:B1379"/>
    <mergeCell ref="C1379:E1379"/>
    <mergeCell ref="A1380:B1380"/>
    <mergeCell ref="C1380:E1380"/>
    <mergeCell ref="A1363:B1363"/>
    <mergeCell ref="C1363:E1363"/>
    <mergeCell ref="A1364:B1364"/>
    <mergeCell ref="C1364:E1364"/>
    <mergeCell ref="A1365:B1365"/>
    <mergeCell ref="C1365:E1365"/>
    <mergeCell ref="A1366:B1366"/>
    <mergeCell ref="C1366:E1366"/>
    <mergeCell ref="A1367:B1367"/>
    <mergeCell ref="C1367:E1367"/>
    <mergeCell ref="A1368:B1368"/>
    <mergeCell ref="C1368:E1368"/>
    <mergeCell ref="A1369:B1369"/>
    <mergeCell ref="C1369:E1369"/>
    <mergeCell ref="A1370:B1370"/>
    <mergeCell ref="C1370:E1370"/>
    <mergeCell ref="A1371:B1371"/>
    <mergeCell ref="C1371:E1371"/>
    <mergeCell ref="A1354:B1354"/>
    <mergeCell ref="C1354:E1354"/>
    <mergeCell ref="A1355:B1355"/>
    <mergeCell ref="C1355:E1355"/>
    <mergeCell ref="A1356:B1356"/>
    <mergeCell ref="C1356:E1356"/>
    <mergeCell ref="A1357:B1357"/>
    <mergeCell ref="C1357:E1357"/>
    <mergeCell ref="A1358:B1358"/>
    <mergeCell ref="C1358:E1358"/>
    <mergeCell ref="A1359:B1359"/>
    <mergeCell ref="C1359:E1359"/>
    <mergeCell ref="A1360:B1360"/>
    <mergeCell ref="C1360:E1360"/>
    <mergeCell ref="A1361:B1361"/>
    <mergeCell ref="C1361:E1361"/>
    <mergeCell ref="A1362:B1362"/>
    <mergeCell ref="C1362:E1362"/>
    <mergeCell ref="A1345:B1345"/>
    <mergeCell ref="C1345:E1345"/>
    <mergeCell ref="A1346:B1346"/>
    <mergeCell ref="C1346:E1346"/>
    <mergeCell ref="A1347:B1347"/>
    <mergeCell ref="C1347:E1347"/>
    <mergeCell ref="A1348:B1348"/>
    <mergeCell ref="C1348:E1348"/>
    <mergeCell ref="A1349:B1349"/>
    <mergeCell ref="C1349:E1349"/>
    <mergeCell ref="A1350:B1350"/>
    <mergeCell ref="C1350:E1350"/>
    <mergeCell ref="A1351:B1351"/>
    <mergeCell ref="C1351:E1351"/>
    <mergeCell ref="A1352:B1352"/>
    <mergeCell ref="C1352:E1352"/>
    <mergeCell ref="A1353:B1353"/>
    <mergeCell ref="C1353:E1353"/>
    <mergeCell ref="A1336:B1336"/>
    <mergeCell ref="C1336:E1336"/>
    <mergeCell ref="A1337:B1337"/>
    <mergeCell ref="C1337:E1337"/>
    <mergeCell ref="A1338:B1338"/>
    <mergeCell ref="C1338:E1338"/>
    <mergeCell ref="A1339:B1339"/>
    <mergeCell ref="C1339:E1339"/>
    <mergeCell ref="A1340:B1340"/>
    <mergeCell ref="C1340:E1340"/>
    <mergeCell ref="A1341:B1341"/>
    <mergeCell ref="C1341:E1341"/>
    <mergeCell ref="A1342:B1342"/>
    <mergeCell ref="C1342:E1342"/>
    <mergeCell ref="A1343:B1343"/>
    <mergeCell ref="C1343:E1343"/>
    <mergeCell ref="A1344:B1344"/>
    <mergeCell ref="C1344:E1344"/>
    <mergeCell ref="A1327:B1327"/>
    <mergeCell ref="C1327:E1327"/>
    <mergeCell ref="A1328:B1328"/>
    <mergeCell ref="C1328:E1328"/>
    <mergeCell ref="A1329:B1329"/>
    <mergeCell ref="C1329:E1329"/>
    <mergeCell ref="A1330:B1330"/>
    <mergeCell ref="C1330:E1330"/>
    <mergeCell ref="A1331:B1331"/>
    <mergeCell ref="C1331:E1331"/>
    <mergeCell ref="A1332:B1332"/>
    <mergeCell ref="C1332:E1332"/>
    <mergeCell ref="A1333:B1333"/>
    <mergeCell ref="C1333:E1333"/>
    <mergeCell ref="A1334:B1334"/>
    <mergeCell ref="C1334:E1334"/>
    <mergeCell ref="A1335:B1335"/>
    <mergeCell ref="C1335:E1335"/>
    <mergeCell ref="A1318:B1318"/>
    <mergeCell ref="C1318:E1318"/>
    <mergeCell ref="A1319:B1319"/>
    <mergeCell ref="C1319:E1319"/>
    <mergeCell ref="A1320:B1320"/>
    <mergeCell ref="C1320:E1320"/>
    <mergeCell ref="A1321:B1321"/>
    <mergeCell ref="C1321:E1321"/>
    <mergeCell ref="A1322:B1322"/>
    <mergeCell ref="C1322:E1322"/>
    <mergeCell ref="A1323:B1323"/>
    <mergeCell ref="C1323:E1323"/>
    <mergeCell ref="A1324:B1324"/>
    <mergeCell ref="C1324:E1324"/>
    <mergeCell ref="A1325:B1325"/>
    <mergeCell ref="C1325:E1325"/>
    <mergeCell ref="A1326:B1326"/>
    <mergeCell ref="C1326:E1326"/>
    <mergeCell ref="A1:E1"/>
    <mergeCell ref="F1:I5"/>
    <mergeCell ref="J1:O1"/>
    <mergeCell ref="A2:E2"/>
    <mergeCell ref="J2:O5"/>
    <mergeCell ref="A3:E3"/>
    <mergeCell ref="A4:E4"/>
    <mergeCell ref="A5:E5"/>
    <mergeCell ref="A1312:B1312"/>
    <mergeCell ref="A1314:B1314"/>
    <mergeCell ref="C1314:E1314"/>
    <mergeCell ref="A1315:B1315"/>
    <mergeCell ref="C1315:E1315"/>
    <mergeCell ref="A1316:B1316"/>
    <mergeCell ref="C1316:E1316"/>
    <mergeCell ref="A1317:B1317"/>
    <mergeCell ref="C1317:E1317"/>
  </mergeCells>
  <pageMargins left="0.39370078740157483" right="0.39370078740157483" top="0.39370078740157483" bottom="0.39370078740157483" header="0" footer="0"/>
  <pageSetup paperSize="9" pageOrder="overThenDown"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USR1CV8</cp:lastModifiedBy>
  <dcterms:modified xsi:type="dcterms:W3CDTF">2024-05-07T20:04:19Z</dcterms:modified>
</cp:coreProperties>
</file>